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perindag TW 4 2025\"/>
    </mc:Choice>
  </mc:AlternateContent>
  <xr:revisionPtr revIDLastSave="0" documentId="13_ncr:1_{FDD1CB81-C00C-4198-8804-605EC2B864ED}" xr6:coauthVersionLast="47" xr6:coauthVersionMax="47" xr10:uidLastSave="{00000000-0000-0000-0000-000000000000}"/>
  <bookViews>
    <workbookView xWindow="-110" yWindow="-110" windowWidth="19420" windowHeight="10300" xr2:uid="{F26EBE40-F687-4796-9303-435B393135C3}"/>
  </bookViews>
  <sheets>
    <sheet name="KK-4" sheetId="1" r:id="rId1"/>
  </sheets>
  <definedNames>
    <definedName name="_xlnm._FilterDatabase" localSheetId="0" hidden="1">'KK-4'!$A$2:$AC$2</definedName>
    <definedName name="_xlnm.Print_Area" localSheetId="0">'KK-4'!$D$1:$AC$1610</definedName>
    <definedName name="_xlnm.Print_Titles" localSheetId="0">'KK-4'!$D:$G,'KK-4'!$1:$2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600" i="1" l="1"/>
  <c r="D1600" i="1" a="1"/>
  <c r="D1600" i="1" s="1"/>
  <c r="T1599" i="1"/>
  <c r="K1599" i="1"/>
  <c r="D1599" i="1" a="1"/>
  <c r="D1599" i="1" s="1"/>
  <c r="K1598" i="1"/>
  <c r="D1598" i="1" a="1"/>
  <c r="D1598" i="1" s="1"/>
  <c r="T1597" i="1"/>
  <c r="P1597" i="1"/>
  <c r="K1597" i="1"/>
  <c r="D1597" i="1" a="1"/>
  <c r="D1597" i="1" s="1"/>
  <c r="P1596" i="1"/>
  <c r="K1596" i="1"/>
  <c r="D1596" i="1" a="1"/>
  <c r="D1596" i="1" s="1"/>
  <c r="T1595" i="1"/>
  <c r="P1595" i="1"/>
  <c r="K1595" i="1"/>
  <c r="D1595" i="1" a="1"/>
  <c r="D1595" i="1" s="1"/>
  <c r="K1594" i="1"/>
  <c r="D1594" i="1" a="1"/>
  <c r="D1594" i="1" s="1"/>
  <c r="K1593" i="1"/>
  <c r="D1593" i="1" a="1"/>
  <c r="D1593" i="1" s="1"/>
  <c r="T1592" i="1"/>
  <c r="P1592" i="1"/>
  <c r="D1592" i="1" a="1"/>
  <c r="D1592" i="1" s="1"/>
  <c r="D1591" i="1" a="1"/>
  <c r="D1591" i="1" s="1"/>
  <c r="D1590" i="1" a="1"/>
  <c r="D1590" i="1" s="1"/>
  <c r="D1589" i="1" a="1"/>
  <c r="D1589" i="1" s="1"/>
  <c r="D1588" i="1" a="1"/>
  <c r="D1588" i="1" s="1"/>
  <c r="D1587" i="1" a="1"/>
  <c r="D1587" i="1" s="1"/>
  <c r="D1586" i="1" a="1"/>
  <c r="D1586" i="1" s="1"/>
  <c r="D1585" i="1" a="1"/>
  <c r="D1585" i="1" s="1"/>
  <c r="D1584" i="1" a="1"/>
  <c r="D1584" i="1" s="1"/>
  <c r="T1583" i="1"/>
  <c r="D1583" i="1" a="1"/>
  <c r="D1583" i="1" s="1"/>
  <c r="P1582" i="1"/>
  <c r="D1582" i="1" a="1"/>
  <c r="D1582" i="1" s="1"/>
  <c r="D1581" i="1" a="1"/>
  <c r="D1581" i="1" s="1"/>
  <c r="D1580" i="1" a="1"/>
  <c r="D1580" i="1" s="1"/>
  <c r="D1579" i="1" a="1"/>
  <c r="D1579" i="1" s="1"/>
  <c r="T1578" i="1"/>
  <c r="R1578" i="1"/>
  <c r="P1578" i="1"/>
  <c r="N1578" i="1"/>
  <c r="D1578" i="1" a="1"/>
  <c r="D1578" i="1" s="1"/>
  <c r="T1577" i="1"/>
  <c r="R1577" i="1"/>
  <c r="D1577" i="1" a="1"/>
  <c r="D1577" i="1" s="1"/>
  <c r="P1576" i="1"/>
  <c r="D1576" i="1" a="1"/>
  <c r="D1576" i="1" s="1"/>
  <c r="T1575" i="1"/>
  <c r="D1575" i="1" a="1"/>
  <c r="D1575" i="1" s="1"/>
  <c r="D1574" i="1" a="1"/>
  <c r="D1574" i="1" s="1"/>
  <c r="D1573" i="1" a="1"/>
  <c r="D1573" i="1" s="1"/>
  <c r="D1572" i="1" a="1"/>
  <c r="D1572" i="1" s="1"/>
  <c r="T1571" i="1"/>
  <c r="P1571" i="1"/>
  <c r="D1571" i="1" a="1"/>
  <c r="D1571" i="1" s="1"/>
  <c r="T1570" i="1"/>
  <c r="D1570" i="1" a="1"/>
  <c r="D1570" i="1" s="1"/>
  <c r="T1569" i="1"/>
  <c r="D1569" i="1" a="1"/>
  <c r="D1569" i="1" s="1"/>
  <c r="T1568" i="1"/>
  <c r="D1568" i="1" a="1"/>
  <c r="D1568" i="1" s="1"/>
  <c r="D1567" i="1" a="1"/>
  <c r="D1567" i="1" s="1"/>
  <c r="D1566" i="1" a="1"/>
  <c r="D1566" i="1" s="1"/>
  <c r="D1565" i="1" a="1"/>
  <c r="D1565" i="1" s="1"/>
  <c r="D1564" i="1" a="1"/>
  <c r="D1564" i="1" s="1"/>
  <c r="T1563" i="1"/>
  <c r="P1563" i="1"/>
  <c r="D1563" i="1" a="1"/>
  <c r="D1563" i="1" s="1"/>
  <c r="P1562" i="1"/>
  <c r="D1562" i="1" a="1"/>
  <c r="D1562" i="1" s="1"/>
  <c r="P1561" i="1"/>
  <c r="D1561" i="1" a="1"/>
  <c r="D1561" i="1" s="1"/>
  <c r="P1560" i="1"/>
  <c r="D1560" i="1" a="1"/>
  <c r="D1560" i="1" s="1"/>
  <c r="D1559" i="1" a="1"/>
  <c r="D1559" i="1" s="1"/>
  <c r="D1558" i="1" a="1"/>
  <c r="D1558" i="1" s="1"/>
  <c r="P1557" i="1"/>
  <c r="D1557" i="1" a="1"/>
  <c r="D1557" i="1" s="1"/>
  <c r="P1556" i="1"/>
  <c r="D1556" i="1" a="1"/>
  <c r="D1556" i="1" s="1"/>
  <c r="P1555" i="1"/>
  <c r="D1555" i="1" a="1"/>
  <c r="D1555" i="1" s="1"/>
  <c r="D1554" i="1" a="1"/>
  <c r="D1554" i="1" s="1"/>
  <c r="D1553" i="1" a="1"/>
  <c r="D1553" i="1" s="1"/>
  <c r="P1552" i="1"/>
  <c r="D1552" i="1" a="1"/>
  <c r="D1552" i="1" s="1"/>
  <c r="P1551" i="1"/>
  <c r="D1551" i="1" a="1"/>
  <c r="D1551" i="1" s="1"/>
  <c r="D1550" i="1" a="1"/>
  <c r="D1550" i="1" s="1"/>
  <c r="P1549" i="1"/>
  <c r="D1549" i="1" a="1"/>
  <c r="D1549" i="1" s="1"/>
  <c r="D1548" i="1" a="1"/>
  <c r="D1548" i="1" s="1"/>
  <c r="T1547" i="1"/>
  <c r="D1547" i="1" a="1"/>
  <c r="D1547" i="1" s="1"/>
  <c r="D1546" i="1" a="1"/>
  <c r="D1546" i="1" s="1"/>
  <c r="D1545" i="1" a="1"/>
  <c r="D1545" i="1" s="1"/>
  <c r="T1544" i="1"/>
  <c r="P1544" i="1"/>
  <c r="D1544" i="1" a="1"/>
  <c r="D1544" i="1" s="1"/>
  <c r="T1543" i="1"/>
  <c r="D1543" i="1" a="1"/>
  <c r="D1543" i="1" s="1"/>
  <c r="D1542" i="1" a="1"/>
  <c r="D1542" i="1" s="1"/>
  <c r="D1541" i="1" a="1"/>
  <c r="D1541" i="1" s="1"/>
  <c r="D1540" i="1" a="1"/>
  <c r="D1540" i="1" s="1"/>
  <c r="D1539" i="1" a="1"/>
  <c r="D1539" i="1" s="1"/>
  <c r="T1538" i="1"/>
  <c r="P1538" i="1"/>
  <c r="J1538" i="1"/>
  <c r="D1538" i="1" a="1"/>
  <c r="D1538" i="1" s="1"/>
  <c r="R1537" i="1"/>
  <c r="T1537" i="1" s="1"/>
  <c r="P1537" i="1"/>
  <c r="D1537" i="1" a="1"/>
  <c r="D1537" i="1" s="1"/>
  <c r="T1536" i="1"/>
  <c r="P1536" i="1"/>
  <c r="D1536" i="1" a="1"/>
  <c r="D1536" i="1" s="1"/>
  <c r="P1535" i="1"/>
  <c r="D1535" i="1" a="1"/>
  <c r="D1535" i="1" s="1"/>
  <c r="P1534" i="1"/>
  <c r="D1534" i="1" a="1"/>
  <c r="D1534" i="1" s="1"/>
  <c r="D1533" i="1" a="1"/>
  <c r="D1533" i="1" s="1"/>
  <c r="D1532" i="1" a="1"/>
  <c r="D1532" i="1" s="1"/>
  <c r="D1531" i="1" a="1"/>
  <c r="D1531" i="1" s="1"/>
  <c r="D1530" i="1" a="1"/>
  <c r="D1530" i="1" s="1"/>
  <c r="D1529" i="1" a="1"/>
  <c r="D1529" i="1" s="1"/>
  <c r="D1528" i="1" a="1"/>
  <c r="D1528" i="1" s="1"/>
  <c r="D1527" i="1" a="1"/>
  <c r="D1527" i="1" s="1"/>
  <c r="D1526" i="1" a="1"/>
  <c r="D1526" i="1" s="1"/>
  <c r="D1525" i="1" a="1"/>
  <c r="D1525" i="1" s="1"/>
  <c r="D1524" i="1" a="1"/>
  <c r="D1524" i="1" s="1"/>
  <c r="D1523" i="1" a="1"/>
  <c r="D1523" i="1" s="1"/>
  <c r="D1522" i="1" a="1"/>
  <c r="D1522" i="1" s="1"/>
  <c r="D1521" i="1" a="1"/>
  <c r="D1521" i="1" s="1"/>
  <c r="D1520" i="1" a="1"/>
  <c r="D1520" i="1" s="1"/>
  <c r="D1519" i="1" a="1"/>
  <c r="D1519" i="1" s="1"/>
  <c r="D1518" i="1" a="1"/>
  <c r="D1518" i="1" s="1"/>
  <c r="D1517" i="1" a="1"/>
  <c r="D1517" i="1" s="1"/>
  <c r="D1516" i="1" a="1"/>
  <c r="D1516" i="1" s="1"/>
  <c r="D1515" i="1" a="1"/>
  <c r="D1515" i="1" s="1"/>
  <c r="D1514" i="1" a="1"/>
  <c r="D1514" i="1" s="1"/>
  <c r="D1513" i="1" a="1"/>
  <c r="D1513" i="1" s="1"/>
  <c r="D1512" i="1" a="1"/>
  <c r="D1512" i="1" s="1"/>
  <c r="D1511" i="1" a="1"/>
  <c r="D1511" i="1" s="1"/>
  <c r="D1510" i="1" a="1"/>
  <c r="D1510" i="1" s="1"/>
  <c r="D1509" i="1" a="1"/>
  <c r="D1509" i="1" s="1"/>
  <c r="D1508" i="1" a="1"/>
  <c r="D1508" i="1" s="1"/>
  <c r="D1507" i="1" a="1"/>
  <c r="D1507" i="1" s="1"/>
  <c r="D1506" i="1" a="1"/>
  <c r="D1506" i="1" s="1"/>
  <c r="D1505" i="1" a="1"/>
  <c r="D1505" i="1" s="1"/>
  <c r="D1504" i="1" a="1"/>
  <c r="D1504" i="1" s="1"/>
  <c r="D1503" i="1" a="1"/>
  <c r="D1503" i="1" s="1"/>
  <c r="D1502" i="1" a="1"/>
  <c r="D1502" i="1" s="1"/>
  <c r="D1501" i="1" a="1"/>
  <c r="D1501" i="1" s="1"/>
  <c r="D1500" i="1" a="1"/>
  <c r="D1500" i="1" s="1"/>
  <c r="D1499" i="1" a="1"/>
  <c r="D1499" i="1" s="1"/>
  <c r="D1498" i="1" a="1"/>
  <c r="D1498" i="1" s="1"/>
  <c r="D1497" i="1" a="1"/>
  <c r="D1497" i="1" s="1"/>
  <c r="D1496" i="1" a="1"/>
  <c r="D1496" i="1" s="1"/>
  <c r="D1495" i="1" a="1"/>
  <c r="D1495" i="1" s="1"/>
  <c r="D1494" i="1" a="1"/>
  <c r="D1494" i="1" s="1"/>
  <c r="D1493" i="1" a="1"/>
  <c r="D1493" i="1" s="1"/>
  <c r="D1492" i="1" a="1"/>
  <c r="D1492" i="1" s="1"/>
  <c r="D1491" i="1" a="1"/>
  <c r="D1491" i="1" s="1"/>
  <c r="D1490" i="1" a="1"/>
  <c r="D1490" i="1" s="1"/>
  <c r="D1489" i="1" a="1"/>
  <c r="D1489" i="1" s="1"/>
  <c r="D1488" i="1" a="1"/>
  <c r="D1488" i="1" s="1"/>
  <c r="D1487" i="1" a="1"/>
  <c r="D1487" i="1" s="1"/>
  <c r="D1486" i="1" a="1"/>
  <c r="D1486" i="1" s="1"/>
  <c r="D1485" i="1" a="1"/>
  <c r="D1485" i="1" s="1"/>
  <c r="D1484" i="1" a="1"/>
  <c r="D1484" i="1" s="1"/>
  <c r="D1483" i="1" a="1"/>
  <c r="D1483" i="1" s="1"/>
  <c r="D1482" i="1" a="1"/>
  <c r="D1482" i="1" s="1"/>
  <c r="D1481" i="1" a="1"/>
  <c r="D1481" i="1" s="1"/>
  <c r="D1480" i="1" a="1"/>
  <c r="D1480" i="1" s="1"/>
  <c r="D1479" i="1" a="1"/>
  <c r="D1479" i="1" s="1"/>
  <c r="D1478" i="1" a="1"/>
  <c r="D1478" i="1" s="1"/>
  <c r="D1477" i="1" a="1"/>
  <c r="D1477" i="1" s="1"/>
  <c r="D1476" i="1" a="1"/>
  <c r="D1476" i="1" s="1"/>
  <c r="D1475" i="1" a="1"/>
  <c r="D1475" i="1" s="1"/>
  <c r="D1474" i="1" a="1"/>
  <c r="D1474" i="1" s="1"/>
  <c r="D1473" i="1" a="1"/>
  <c r="D1473" i="1" s="1"/>
  <c r="D1472" i="1" a="1"/>
  <c r="D1472" i="1" s="1"/>
  <c r="D1471" i="1" a="1"/>
  <c r="D1471" i="1" s="1"/>
  <c r="D1470" i="1" a="1"/>
  <c r="D1470" i="1" s="1"/>
  <c r="D1469" i="1" a="1"/>
  <c r="D1469" i="1" s="1"/>
  <c r="D1468" i="1" a="1"/>
  <c r="D1468" i="1" s="1"/>
  <c r="D1467" i="1" a="1"/>
  <c r="D1467" i="1" s="1"/>
  <c r="D1466" i="1" a="1"/>
  <c r="D1466" i="1" s="1"/>
  <c r="D1465" i="1" a="1"/>
  <c r="D1465" i="1" s="1"/>
  <c r="D1464" i="1" a="1"/>
  <c r="D1464" i="1" s="1"/>
  <c r="D1463" i="1" a="1"/>
  <c r="D1463" i="1" s="1"/>
  <c r="D1462" i="1" a="1"/>
  <c r="D1462" i="1" s="1"/>
  <c r="D1461" i="1" a="1"/>
  <c r="D1461" i="1" s="1"/>
  <c r="D1460" i="1" a="1"/>
  <c r="D1460" i="1" s="1"/>
  <c r="D1459" i="1" a="1"/>
  <c r="D1459" i="1" s="1"/>
  <c r="D1458" i="1" a="1"/>
  <c r="D1458" i="1" s="1"/>
  <c r="D1457" i="1" a="1"/>
  <c r="D1457" i="1" s="1"/>
  <c r="D1456" i="1" a="1"/>
  <c r="D1456" i="1" s="1"/>
  <c r="D1455" i="1" a="1"/>
  <c r="D1455" i="1" s="1"/>
  <c r="D1454" i="1" a="1"/>
  <c r="D1454" i="1" s="1"/>
  <c r="D1453" i="1" a="1"/>
  <c r="D1453" i="1" s="1"/>
  <c r="D1452" i="1" a="1"/>
  <c r="D1452" i="1" s="1"/>
  <c r="D1451" i="1" a="1"/>
  <c r="D1451" i="1" s="1"/>
  <c r="D1450" i="1" a="1"/>
  <c r="D1450" i="1" s="1"/>
  <c r="D1449" i="1" a="1"/>
  <c r="D1449" i="1" s="1"/>
  <c r="D1448" i="1" a="1"/>
  <c r="D1448" i="1" s="1"/>
  <c r="D1447" i="1" a="1"/>
  <c r="D1447" i="1" s="1"/>
  <c r="D1446" i="1" a="1"/>
  <c r="D1446" i="1" s="1"/>
  <c r="D1445" i="1" a="1"/>
  <c r="D1445" i="1" s="1"/>
  <c r="D1444" i="1" a="1"/>
  <c r="D1444" i="1" s="1"/>
  <c r="D1443" i="1" a="1"/>
  <c r="D1443" i="1" s="1"/>
  <c r="D1442" i="1" a="1"/>
  <c r="D1442" i="1" s="1"/>
  <c r="D1441" i="1" a="1"/>
  <c r="D1441" i="1" s="1"/>
  <c r="D1440" i="1" a="1"/>
  <c r="D1440" i="1" s="1"/>
  <c r="D1439" i="1" a="1"/>
  <c r="D1439" i="1" s="1"/>
  <c r="D1438" i="1" a="1"/>
  <c r="D1438" i="1" s="1"/>
  <c r="D1437" i="1" a="1"/>
  <c r="D1437" i="1" s="1"/>
  <c r="D1436" i="1" a="1"/>
  <c r="D1436" i="1" s="1"/>
  <c r="D1435" i="1" a="1"/>
  <c r="D1435" i="1" s="1"/>
  <c r="P1434" i="1"/>
  <c r="D1434" i="1" a="1"/>
  <c r="D1434" i="1" s="1"/>
  <c r="D1433" i="1" a="1"/>
  <c r="D1433" i="1" s="1"/>
  <c r="P1432" i="1"/>
  <c r="D1432" i="1" a="1"/>
  <c r="D1432" i="1" s="1"/>
  <c r="D1431" i="1" a="1"/>
  <c r="D1431" i="1" s="1"/>
  <c r="D1430" i="1" a="1"/>
  <c r="D1430" i="1" s="1"/>
  <c r="D1429" i="1" a="1"/>
  <c r="D1429" i="1" s="1"/>
  <c r="D1428" i="1" a="1"/>
  <c r="D1428" i="1" s="1"/>
  <c r="D1427" i="1" a="1"/>
  <c r="D1427" i="1" s="1"/>
  <c r="D1426" i="1" a="1"/>
  <c r="D1426" i="1" s="1"/>
  <c r="D1425" i="1" a="1"/>
  <c r="D1425" i="1" s="1"/>
  <c r="D1424" i="1" a="1"/>
  <c r="D1424" i="1" s="1"/>
  <c r="D1423" i="1" a="1"/>
  <c r="D1423" i="1" s="1"/>
  <c r="D1422" i="1" a="1"/>
  <c r="D1422" i="1" s="1"/>
  <c r="P1421" i="1"/>
  <c r="D1421" i="1" a="1"/>
  <c r="D1421" i="1" s="1"/>
  <c r="D1420" i="1" a="1"/>
  <c r="D1420" i="1" s="1"/>
  <c r="D1419" i="1" a="1"/>
  <c r="D1419" i="1" s="1"/>
  <c r="D1418" i="1" a="1"/>
  <c r="D1418" i="1" s="1"/>
  <c r="D1417" i="1" a="1"/>
  <c r="D1417" i="1" s="1"/>
  <c r="D1416" i="1" a="1"/>
  <c r="D1416" i="1" s="1"/>
  <c r="D1415" i="1" a="1"/>
  <c r="D1415" i="1" s="1"/>
  <c r="P1414" i="1"/>
  <c r="D1414" i="1" a="1"/>
  <c r="D1414" i="1" s="1"/>
  <c r="P1413" i="1"/>
  <c r="D1413" i="1" a="1"/>
  <c r="D1413" i="1" s="1"/>
  <c r="P1412" i="1"/>
  <c r="D1412" i="1" a="1"/>
  <c r="D1412" i="1" s="1"/>
  <c r="D1411" i="1" a="1"/>
  <c r="D1411" i="1" s="1"/>
  <c r="D1410" i="1" a="1"/>
  <c r="D1410" i="1" s="1"/>
  <c r="D1409" i="1" a="1"/>
  <c r="D1409" i="1" s="1"/>
  <c r="P1408" i="1"/>
  <c r="D1408" i="1" a="1"/>
  <c r="D1408" i="1" s="1"/>
  <c r="P1407" i="1"/>
  <c r="D1407" i="1" a="1"/>
  <c r="D1407" i="1" s="1"/>
  <c r="P1406" i="1"/>
  <c r="D1406" i="1" a="1"/>
  <c r="D1406" i="1" s="1"/>
  <c r="P1405" i="1"/>
  <c r="D1405" i="1" a="1"/>
  <c r="D1405" i="1" s="1"/>
  <c r="D1404" i="1" a="1"/>
  <c r="D1404" i="1" s="1"/>
  <c r="D1403" i="1" a="1"/>
  <c r="D1403" i="1" s="1"/>
  <c r="D1402" i="1" a="1"/>
  <c r="D1402" i="1" s="1"/>
  <c r="D1401" i="1" a="1"/>
  <c r="D1401" i="1" s="1"/>
  <c r="D1400" i="1" a="1"/>
  <c r="D1400" i="1" s="1"/>
  <c r="D1399" i="1" a="1"/>
  <c r="D1399" i="1" s="1"/>
  <c r="D1398" i="1" a="1"/>
  <c r="D1398" i="1" s="1"/>
  <c r="D1397" i="1" a="1"/>
  <c r="D1397" i="1" s="1"/>
  <c r="D1396" i="1" a="1"/>
  <c r="D1396" i="1" s="1"/>
  <c r="D1395" i="1" a="1"/>
  <c r="D1395" i="1" s="1"/>
  <c r="P1394" i="1"/>
  <c r="D1394" i="1" a="1"/>
  <c r="D1394" i="1" s="1"/>
  <c r="D1393" i="1" a="1"/>
  <c r="D1393" i="1" s="1"/>
  <c r="D1392" i="1" a="1"/>
  <c r="D1392" i="1" s="1"/>
  <c r="D1391" i="1" a="1"/>
  <c r="D1391" i="1" s="1"/>
  <c r="D1390" i="1" a="1"/>
  <c r="D1390" i="1" s="1"/>
  <c r="D1389" i="1" a="1"/>
  <c r="D1389" i="1" s="1"/>
  <c r="D1388" i="1" a="1"/>
  <c r="D1388" i="1" s="1"/>
  <c r="D1387" i="1" a="1"/>
  <c r="D1387" i="1" s="1"/>
  <c r="D1386" i="1" a="1"/>
  <c r="D1386" i="1" s="1"/>
  <c r="D1385" i="1" a="1"/>
  <c r="D1385" i="1" s="1"/>
  <c r="D1384" i="1" a="1"/>
  <c r="D1384" i="1" s="1"/>
  <c r="D1383" i="1" a="1"/>
  <c r="D1383" i="1" s="1"/>
  <c r="D1382" i="1" a="1"/>
  <c r="D1382" i="1" s="1"/>
  <c r="D1381" i="1" a="1"/>
  <c r="D1381" i="1" s="1"/>
  <c r="D1380" i="1" a="1"/>
  <c r="D1380" i="1" s="1"/>
  <c r="D1379" i="1" a="1"/>
  <c r="D1379" i="1" s="1"/>
  <c r="D1378" i="1" a="1"/>
  <c r="D1378" i="1" s="1"/>
  <c r="D1377" i="1" a="1"/>
  <c r="D1377" i="1" s="1"/>
  <c r="D1376" i="1" a="1"/>
  <c r="D1376" i="1" s="1"/>
  <c r="D1375" i="1" a="1"/>
  <c r="D1375" i="1" s="1"/>
  <c r="D1374" i="1" a="1"/>
  <c r="D1374" i="1" s="1"/>
  <c r="D1373" i="1" a="1"/>
  <c r="D1373" i="1" s="1"/>
  <c r="D1372" i="1" a="1"/>
  <c r="D1372" i="1" s="1"/>
  <c r="D1371" i="1" a="1"/>
  <c r="D1371" i="1" s="1"/>
  <c r="D1370" i="1" a="1"/>
  <c r="D1370" i="1" s="1"/>
  <c r="D1369" i="1" a="1"/>
  <c r="D1369" i="1" s="1"/>
  <c r="D1368" i="1" a="1"/>
  <c r="D1368" i="1" s="1"/>
  <c r="D1367" i="1" a="1"/>
  <c r="D1367" i="1" s="1"/>
  <c r="D1366" i="1" a="1"/>
  <c r="D1366" i="1" s="1"/>
  <c r="D1365" i="1" a="1"/>
  <c r="D1365" i="1" s="1"/>
  <c r="D1364" i="1" a="1"/>
  <c r="D1364" i="1" s="1"/>
  <c r="D1363" i="1" a="1"/>
  <c r="D1363" i="1" s="1"/>
  <c r="D1362" i="1" a="1"/>
  <c r="D1362" i="1" s="1"/>
  <c r="D1361" i="1" a="1"/>
  <c r="D1361" i="1" s="1"/>
  <c r="D1360" i="1" a="1"/>
  <c r="D1360" i="1" s="1"/>
  <c r="D1359" i="1" a="1"/>
  <c r="D1359" i="1" s="1"/>
  <c r="D1358" i="1" a="1"/>
  <c r="D1358" i="1" s="1"/>
  <c r="D1357" i="1" a="1"/>
  <c r="D1357" i="1" s="1"/>
  <c r="D1356" i="1" a="1"/>
  <c r="D1356" i="1" s="1"/>
  <c r="D1355" i="1" a="1"/>
  <c r="D1355" i="1" s="1"/>
  <c r="D1354" i="1" a="1"/>
  <c r="D1354" i="1" s="1"/>
  <c r="D1353" i="1" a="1"/>
  <c r="D1353" i="1" s="1"/>
  <c r="D1352" i="1" a="1"/>
  <c r="D1352" i="1" s="1"/>
  <c r="D1351" i="1" a="1"/>
  <c r="D1351" i="1" s="1"/>
  <c r="D1350" i="1" a="1"/>
  <c r="D1350" i="1" s="1"/>
  <c r="D1349" i="1" a="1"/>
  <c r="D1349" i="1" s="1"/>
  <c r="D1348" i="1" a="1"/>
  <c r="D1348" i="1" s="1"/>
  <c r="D1347" i="1" a="1"/>
  <c r="D1347" i="1" s="1"/>
  <c r="D1346" i="1" a="1"/>
  <c r="D1346" i="1" s="1"/>
  <c r="D1345" i="1" a="1"/>
  <c r="D1345" i="1" s="1"/>
  <c r="D1344" i="1" a="1"/>
  <c r="D1344" i="1" s="1"/>
  <c r="T1343" i="1"/>
  <c r="P1343" i="1"/>
  <c r="D1343" i="1" a="1"/>
  <c r="D1343" i="1" s="1"/>
  <c r="T1342" i="1"/>
  <c r="P1342" i="1"/>
  <c r="D1342" i="1" a="1"/>
  <c r="D1342" i="1" s="1"/>
  <c r="D1341" i="1" a="1"/>
  <c r="D1341" i="1" s="1"/>
  <c r="D1340" i="1" a="1"/>
  <c r="D1340" i="1" s="1"/>
  <c r="T1339" i="1"/>
  <c r="D1339" i="1" a="1"/>
  <c r="D1339" i="1" s="1"/>
  <c r="T1338" i="1"/>
  <c r="P1338" i="1"/>
  <c r="D1338" i="1" a="1"/>
  <c r="D1338" i="1" s="1"/>
  <c r="T1337" i="1"/>
  <c r="P1337" i="1"/>
  <c r="D1337" i="1" a="1"/>
  <c r="D1337" i="1" s="1"/>
  <c r="T1336" i="1"/>
  <c r="P1336" i="1"/>
  <c r="D1336" i="1" a="1"/>
  <c r="D1336" i="1" s="1"/>
  <c r="T1335" i="1"/>
  <c r="P1335" i="1"/>
  <c r="D1335" i="1" a="1"/>
  <c r="D1335" i="1" s="1"/>
  <c r="D1334" i="1" a="1"/>
  <c r="D1334" i="1" s="1"/>
  <c r="T1333" i="1"/>
  <c r="R1333" i="1"/>
  <c r="N1333" i="1"/>
  <c r="D1333" i="1" a="1"/>
  <c r="D1333" i="1" s="1"/>
  <c r="D1332" i="1" a="1"/>
  <c r="D1332" i="1" s="1"/>
  <c r="N1331" i="1"/>
  <c r="R1331" i="1" s="1"/>
  <c r="T1331" i="1" s="1"/>
  <c r="D1331" i="1" a="1"/>
  <c r="D1331" i="1" s="1"/>
  <c r="D1330" i="1" a="1"/>
  <c r="D1330" i="1" s="1"/>
  <c r="T1329" i="1"/>
  <c r="P1329" i="1"/>
  <c r="D1329" i="1" a="1"/>
  <c r="D1329" i="1" s="1"/>
  <c r="N1328" i="1"/>
  <c r="R1328" i="1" s="1"/>
  <c r="T1328" i="1" s="1"/>
  <c r="D1328" i="1" a="1"/>
  <c r="D1328" i="1" s="1"/>
  <c r="T1327" i="1"/>
  <c r="P1327" i="1"/>
  <c r="D1327" i="1" a="1"/>
  <c r="D1327" i="1" s="1"/>
  <c r="D1326" i="1" a="1"/>
  <c r="D1326" i="1" s="1"/>
  <c r="T1325" i="1"/>
  <c r="D1325" i="1" a="1"/>
  <c r="D1325" i="1" s="1"/>
  <c r="T1324" i="1"/>
  <c r="P1324" i="1"/>
  <c r="D1324" i="1" a="1"/>
  <c r="D1324" i="1" s="1"/>
  <c r="T1323" i="1"/>
  <c r="P1323" i="1"/>
  <c r="D1323" i="1" a="1"/>
  <c r="D1323" i="1" s="1"/>
  <c r="D1322" i="1" a="1"/>
  <c r="D1322" i="1" s="1"/>
  <c r="T1321" i="1"/>
  <c r="P1321" i="1"/>
  <c r="D1321" i="1" a="1"/>
  <c r="D1321" i="1" s="1"/>
  <c r="T1320" i="1"/>
  <c r="P1320" i="1"/>
  <c r="D1320" i="1" a="1"/>
  <c r="D1320" i="1" s="1"/>
  <c r="T1319" i="1"/>
  <c r="D1319" i="1" a="1"/>
  <c r="D1319" i="1" s="1"/>
  <c r="K1318" i="1"/>
  <c r="D1318" i="1" a="1"/>
  <c r="D1318" i="1" s="1"/>
  <c r="T1317" i="1"/>
  <c r="P1317" i="1"/>
  <c r="K1317" i="1"/>
  <c r="D1317" i="1" a="1"/>
  <c r="D1317" i="1" s="1"/>
  <c r="T1316" i="1"/>
  <c r="K1316" i="1"/>
  <c r="D1316" i="1" a="1"/>
  <c r="D1316" i="1" s="1"/>
  <c r="K1315" i="1"/>
  <c r="D1315" i="1" a="1"/>
  <c r="D1315" i="1" s="1"/>
  <c r="K1314" i="1"/>
  <c r="D1314" i="1" a="1"/>
  <c r="D1314" i="1" s="1"/>
  <c r="K1313" i="1"/>
  <c r="D1313" i="1" a="1"/>
  <c r="D1313" i="1" s="1"/>
  <c r="K1312" i="1"/>
  <c r="D1312" i="1" a="1"/>
  <c r="D1312" i="1" s="1"/>
  <c r="T1311" i="1"/>
  <c r="P1311" i="1"/>
  <c r="K1311" i="1"/>
  <c r="D1311" i="1" a="1"/>
  <c r="D1311" i="1" s="1"/>
  <c r="T1310" i="1"/>
  <c r="P1310" i="1"/>
  <c r="K1310" i="1"/>
  <c r="D1310" i="1" a="1"/>
  <c r="D1310" i="1" s="1"/>
  <c r="T1309" i="1"/>
  <c r="P1309" i="1"/>
  <c r="K1309" i="1"/>
  <c r="D1309" i="1" a="1"/>
  <c r="D1309" i="1" s="1"/>
  <c r="K1308" i="1"/>
  <c r="D1308" i="1" a="1"/>
  <c r="D1308" i="1" s="1"/>
  <c r="K1307" i="1"/>
  <c r="D1307" i="1" a="1"/>
  <c r="D1307" i="1" s="1"/>
  <c r="T1306" i="1"/>
  <c r="P1306" i="1"/>
  <c r="K1306" i="1"/>
  <c r="D1306" i="1" a="1"/>
  <c r="D1306" i="1" s="1"/>
  <c r="K1305" i="1"/>
  <c r="D1305" i="1" a="1"/>
  <c r="D1305" i="1" s="1"/>
  <c r="K1304" i="1"/>
  <c r="D1304" i="1" a="1"/>
  <c r="D1304" i="1" s="1"/>
  <c r="T1303" i="1"/>
  <c r="P1303" i="1"/>
  <c r="K1303" i="1"/>
  <c r="D1303" i="1" a="1"/>
  <c r="D1303" i="1" s="1"/>
  <c r="T1302" i="1"/>
  <c r="P1302" i="1"/>
  <c r="K1302" i="1"/>
  <c r="D1302" i="1" a="1"/>
  <c r="D1302" i="1" s="1"/>
  <c r="T1301" i="1"/>
  <c r="P1301" i="1"/>
  <c r="K1301" i="1"/>
  <c r="D1301" i="1" a="1"/>
  <c r="D1301" i="1" s="1"/>
  <c r="K1300" i="1"/>
  <c r="D1300" i="1" a="1"/>
  <c r="D1300" i="1" s="1"/>
  <c r="K1299" i="1"/>
  <c r="D1299" i="1" a="1"/>
  <c r="D1299" i="1" s="1"/>
  <c r="T1298" i="1"/>
  <c r="P1298" i="1"/>
  <c r="K1298" i="1"/>
  <c r="D1298" i="1" a="1"/>
  <c r="D1298" i="1" s="1"/>
  <c r="T1297" i="1"/>
  <c r="P1297" i="1"/>
  <c r="K1297" i="1"/>
  <c r="D1297" i="1" a="1"/>
  <c r="D1297" i="1" s="1"/>
  <c r="K1296" i="1"/>
  <c r="D1296" i="1" a="1"/>
  <c r="D1296" i="1" s="1"/>
  <c r="K1295" i="1"/>
  <c r="D1295" i="1" a="1"/>
  <c r="D1295" i="1" s="1"/>
  <c r="K1294" i="1"/>
  <c r="D1294" i="1" a="1"/>
  <c r="D1294" i="1" s="1"/>
  <c r="T1293" i="1"/>
  <c r="P1293" i="1"/>
  <c r="K1293" i="1"/>
  <c r="D1293" i="1" a="1"/>
  <c r="D1293" i="1" s="1"/>
  <c r="K1292" i="1"/>
  <c r="D1292" i="1" a="1"/>
  <c r="D1292" i="1" s="1"/>
  <c r="K1291" i="1"/>
  <c r="D1291" i="1" a="1"/>
  <c r="D1291" i="1" s="1"/>
  <c r="T1290" i="1"/>
  <c r="P1290" i="1"/>
  <c r="K1290" i="1"/>
  <c r="D1290" i="1" a="1"/>
  <c r="D1290" i="1" s="1"/>
  <c r="K1289" i="1"/>
  <c r="D1289" i="1" a="1"/>
  <c r="D1289" i="1" s="1"/>
  <c r="T1288" i="1"/>
  <c r="P1288" i="1"/>
  <c r="K1288" i="1"/>
  <c r="D1288" i="1" a="1"/>
  <c r="D1288" i="1" s="1"/>
  <c r="T1287" i="1"/>
  <c r="P1287" i="1"/>
  <c r="K1287" i="1"/>
  <c r="D1287" i="1" a="1"/>
  <c r="D1287" i="1" s="1"/>
  <c r="K1286" i="1"/>
  <c r="D1286" i="1" a="1"/>
  <c r="D1286" i="1" s="1"/>
  <c r="K1285" i="1"/>
  <c r="D1285" i="1" a="1"/>
  <c r="D1285" i="1" s="1"/>
  <c r="K1284" i="1"/>
  <c r="D1284" i="1" a="1"/>
  <c r="D1284" i="1" s="1"/>
  <c r="T1283" i="1"/>
  <c r="P1283" i="1"/>
  <c r="K1283" i="1"/>
  <c r="D1283" i="1" a="1"/>
  <c r="D1283" i="1" s="1"/>
  <c r="T1282" i="1"/>
  <c r="P1282" i="1"/>
  <c r="K1282" i="1"/>
  <c r="D1282" i="1" a="1"/>
  <c r="D1282" i="1" s="1"/>
  <c r="T1281" i="1"/>
  <c r="P1281" i="1"/>
  <c r="K1281" i="1"/>
  <c r="D1281" i="1" a="1"/>
  <c r="D1281" i="1" s="1"/>
  <c r="T1280" i="1"/>
  <c r="P1280" i="1"/>
  <c r="K1280" i="1"/>
  <c r="D1280" i="1" a="1"/>
  <c r="D1280" i="1" s="1"/>
  <c r="K1279" i="1"/>
  <c r="N1279" i="1" s="1"/>
  <c r="R1279" i="1" s="1"/>
  <c r="T1279" i="1" s="1"/>
  <c r="D1279" i="1" a="1"/>
  <c r="D1279" i="1" s="1"/>
  <c r="T1278" i="1"/>
  <c r="P1278" i="1"/>
  <c r="K1278" i="1"/>
  <c r="D1278" i="1" a="1"/>
  <c r="D1278" i="1" s="1"/>
  <c r="T1277" i="1"/>
  <c r="P1277" i="1"/>
  <c r="K1277" i="1"/>
  <c r="D1277" i="1" a="1"/>
  <c r="D1277" i="1" s="1"/>
  <c r="K1276" i="1"/>
  <c r="D1276" i="1" a="1"/>
  <c r="D1276" i="1" s="1"/>
  <c r="T1275" i="1"/>
  <c r="P1275" i="1"/>
  <c r="K1275" i="1"/>
  <c r="D1275" i="1" a="1"/>
  <c r="D1275" i="1" s="1"/>
  <c r="K1274" i="1"/>
  <c r="D1274" i="1" a="1"/>
  <c r="D1274" i="1" s="1"/>
  <c r="T1273" i="1"/>
  <c r="P1273" i="1"/>
  <c r="K1273" i="1"/>
  <c r="D1273" i="1" a="1"/>
  <c r="D1273" i="1" s="1"/>
  <c r="K1272" i="1"/>
  <c r="D1272" i="1" a="1"/>
  <c r="D1272" i="1" s="1"/>
  <c r="K1271" i="1"/>
  <c r="D1271" i="1" a="1"/>
  <c r="D1271" i="1" s="1"/>
  <c r="T1270" i="1"/>
  <c r="P1270" i="1"/>
  <c r="K1270" i="1"/>
  <c r="D1270" i="1" a="1"/>
  <c r="D1270" i="1" s="1"/>
  <c r="T1269" i="1"/>
  <c r="P1269" i="1"/>
  <c r="K1269" i="1"/>
  <c r="D1269" i="1" a="1"/>
  <c r="D1269" i="1" s="1"/>
  <c r="K1268" i="1"/>
  <c r="D1268" i="1" a="1"/>
  <c r="D1268" i="1" s="1"/>
  <c r="K1267" i="1"/>
  <c r="D1267" i="1" a="1"/>
  <c r="D1267" i="1" s="1"/>
  <c r="T1266" i="1"/>
  <c r="P1266" i="1"/>
  <c r="K1266" i="1"/>
  <c r="D1266" i="1" a="1"/>
  <c r="D1266" i="1" s="1"/>
  <c r="T1265" i="1"/>
  <c r="P1265" i="1"/>
  <c r="K1265" i="1"/>
  <c r="D1265" i="1" a="1"/>
  <c r="D1265" i="1" s="1"/>
  <c r="K1264" i="1"/>
  <c r="D1264" i="1" a="1"/>
  <c r="D1264" i="1" s="1"/>
  <c r="K1263" i="1"/>
  <c r="D1263" i="1" a="1"/>
  <c r="D1263" i="1" s="1"/>
  <c r="K1262" i="1"/>
  <c r="D1262" i="1" a="1"/>
  <c r="D1262" i="1" s="1"/>
  <c r="T1261" i="1"/>
  <c r="P1261" i="1"/>
  <c r="K1261" i="1"/>
  <c r="D1261" i="1" a="1"/>
  <c r="D1261" i="1" s="1"/>
  <c r="K1260" i="1"/>
  <c r="D1260" i="1" a="1"/>
  <c r="D1260" i="1" s="1"/>
  <c r="T1259" i="1"/>
  <c r="P1259" i="1"/>
  <c r="K1259" i="1"/>
  <c r="D1259" i="1" a="1"/>
  <c r="D1259" i="1" s="1"/>
  <c r="T1258" i="1"/>
  <c r="P1258" i="1"/>
  <c r="K1258" i="1"/>
  <c r="D1258" i="1" a="1"/>
  <c r="D1258" i="1" s="1"/>
  <c r="T1257" i="1"/>
  <c r="N1257" i="1"/>
  <c r="K1257" i="1"/>
  <c r="D1257" i="1" a="1"/>
  <c r="D1257" i="1" s="1"/>
  <c r="T1256" i="1"/>
  <c r="P1256" i="1"/>
  <c r="K1256" i="1"/>
  <c r="D1256" i="1" a="1"/>
  <c r="D1256" i="1" s="1"/>
  <c r="K1255" i="1"/>
  <c r="D1255" i="1" a="1"/>
  <c r="D1255" i="1" s="1"/>
  <c r="T1254" i="1"/>
  <c r="P1254" i="1"/>
  <c r="K1254" i="1"/>
  <c r="D1254" i="1" a="1"/>
  <c r="D1254" i="1" s="1"/>
  <c r="T1253" i="1"/>
  <c r="P1253" i="1"/>
  <c r="K1253" i="1"/>
  <c r="D1253" i="1" a="1"/>
  <c r="D1253" i="1" s="1"/>
  <c r="T1252" i="1"/>
  <c r="P1252" i="1"/>
  <c r="K1252" i="1"/>
  <c r="D1252" i="1" a="1"/>
  <c r="D1252" i="1" s="1"/>
  <c r="T1251" i="1"/>
  <c r="P1251" i="1"/>
  <c r="K1251" i="1"/>
  <c r="D1251" i="1" a="1"/>
  <c r="D1251" i="1" s="1"/>
  <c r="T1250" i="1"/>
  <c r="P1250" i="1"/>
  <c r="K1250" i="1"/>
  <c r="D1250" i="1" a="1"/>
  <c r="D1250" i="1" s="1"/>
  <c r="K1249" i="1"/>
  <c r="D1249" i="1" a="1"/>
  <c r="D1249" i="1" s="1"/>
  <c r="T1248" i="1"/>
  <c r="P1248" i="1"/>
  <c r="K1248" i="1"/>
  <c r="D1248" i="1" a="1"/>
  <c r="D1248" i="1" s="1"/>
  <c r="K1247" i="1"/>
  <c r="D1247" i="1" a="1"/>
  <c r="D1247" i="1" s="1"/>
  <c r="K1246" i="1"/>
  <c r="D1246" i="1" a="1"/>
  <c r="D1246" i="1" s="1"/>
  <c r="K1245" i="1"/>
  <c r="D1245" i="1" a="1"/>
  <c r="D1245" i="1" s="1"/>
  <c r="K1244" i="1"/>
  <c r="D1244" i="1" a="1"/>
  <c r="D1244" i="1" s="1"/>
  <c r="T1243" i="1"/>
  <c r="P1243" i="1"/>
  <c r="K1243" i="1"/>
  <c r="D1243" i="1" a="1"/>
  <c r="D1243" i="1" s="1"/>
  <c r="T1242" i="1"/>
  <c r="P1242" i="1"/>
  <c r="K1242" i="1"/>
  <c r="D1242" i="1" a="1"/>
  <c r="D1242" i="1" s="1"/>
  <c r="T1241" i="1"/>
  <c r="P1241" i="1"/>
  <c r="K1241" i="1"/>
  <c r="D1241" i="1" a="1"/>
  <c r="D1241" i="1" s="1"/>
  <c r="T1240" i="1"/>
  <c r="P1240" i="1"/>
  <c r="K1240" i="1"/>
  <c r="D1240" i="1" a="1"/>
  <c r="D1240" i="1" s="1"/>
  <c r="T1239" i="1"/>
  <c r="P1239" i="1"/>
  <c r="K1239" i="1"/>
  <c r="D1239" i="1" a="1"/>
  <c r="D1239" i="1" s="1"/>
  <c r="T1238" i="1"/>
  <c r="P1238" i="1"/>
  <c r="K1238" i="1"/>
  <c r="D1238" i="1" a="1"/>
  <c r="D1238" i="1" s="1"/>
  <c r="T1237" i="1"/>
  <c r="P1237" i="1"/>
  <c r="K1237" i="1"/>
  <c r="D1237" i="1" a="1"/>
  <c r="D1237" i="1" s="1"/>
  <c r="K1236" i="1"/>
  <c r="D1236" i="1" a="1"/>
  <c r="D1236" i="1" s="1"/>
  <c r="T1235" i="1"/>
  <c r="P1235" i="1"/>
  <c r="K1235" i="1"/>
  <c r="D1235" i="1" a="1"/>
  <c r="D1235" i="1" s="1"/>
  <c r="K1234" i="1"/>
  <c r="D1234" i="1" a="1"/>
  <c r="D1234" i="1" s="1"/>
  <c r="K1233" i="1"/>
  <c r="D1233" i="1" a="1"/>
  <c r="D1233" i="1" s="1"/>
  <c r="K1232" i="1"/>
  <c r="D1232" i="1" a="1"/>
  <c r="D1232" i="1" s="1"/>
  <c r="K1231" i="1"/>
  <c r="D1231" i="1" a="1"/>
  <c r="D1231" i="1" s="1"/>
  <c r="K1230" i="1"/>
  <c r="D1230" i="1" a="1"/>
  <c r="D1230" i="1" s="1"/>
  <c r="K1229" i="1"/>
  <c r="D1229" i="1" a="1"/>
  <c r="D1229" i="1" s="1"/>
  <c r="K1228" i="1"/>
  <c r="D1228" i="1" a="1"/>
  <c r="D1228" i="1" s="1"/>
  <c r="T1227" i="1"/>
  <c r="K1227" i="1"/>
  <c r="D1227" i="1" a="1"/>
  <c r="D1227" i="1" s="1"/>
  <c r="T1226" i="1"/>
  <c r="R1226" i="1"/>
  <c r="N1226" i="1"/>
  <c r="K1226" i="1"/>
  <c r="D1226" i="1" a="1"/>
  <c r="D1226" i="1" s="1"/>
  <c r="T1225" i="1"/>
  <c r="P1225" i="1"/>
  <c r="K1225" i="1"/>
  <c r="D1225" i="1" a="1"/>
  <c r="D1225" i="1" s="1"/>
  <c r="T1224" i="1"/>
  <c r="P1224" i="1"/>
  <c r="K1224" i="1"/>
  <c r="D1224" i="1" a="1"/>
  <c r="D1224" i="1" s="1"/>
  <c r="T1223" i="1"/>
  <c r="P1223" i="1"/>
  <c r="K1223" i="1"/>
  <c r="D1223" i="1" a="1"/>
  <c r="D1223" i="1" s="1"/>
  <c r="T1222" i="1"/>
  <c r="P1222" i="1"/>
  <c r="K1222" i="1"/>
  <c r="D1222" i="1" a="1"/>
  <c r="D1222" i="1" s="1"/>
  <c r="T1221" i="1"/>
  <c r="N1221" i="1"/>
  <c r="K1221" i="1"/>
  <c r="D1221" i="1" a="1"/>
  <c r="D1221" i="1" s="1"/>
  <c r="T1220" i="1"/>
  <c r="P1220" i="1"/>
  <c r="K1220" i="1"/>
  <c r="D1220" i="1" a="1"/>
  <c r="D1220" i="1" s="1"/>
  <c r="K1219" i="1"/>
  <c r="D1219" i="1" a="1"/>
  <c r="D1219" i="1" s="1"/>
  <c r="T1218" i="1"/>
  <c r="P1218" i="1"/>
  <c r="K1218" i="1"/>
  <c r="D1218" i="1" a="1"/>
  <c r="D1218" i="1" s="1"/>
  <c r="T1217" i="1"/>
  <c r="P1217" i="1"/>
  <c r="K1217" i="1"/>
  <c r="D1217" i="1" a="1"/>
  <c r="D1217" i="1" s="1"/>
  <c r="T1216" i="1"/>
  <c r="P1216" i="1"/>
  <c r="K1216" i="1"/>
  <c r="D1216" i="1" a="1"/>
  <c r="D1216" i="1" s="1"/>
  <c r="T1215" i="1"/>
  <c r="P1215" i="1"/>
  <c r="K1215" i="1"/>
  <c r="D1215" i="1" a="1"/>
  <c r="D1215" i="1" s="1"/>
  <c r="T1214" i="1"/>
  <c r="P1214" i="1"/>
  <c r="K1214" i="1"/>
  <c r="D1214" i="1" a="1"/>
  <c r="D1214" i="1" s="1"/>
  <c r="T1213" i="1"/>
  <c r="P1213" i="1"/>
  <c r="K1213" i="1"/>
  <c r="D1213" i="1" a="1"/>
  <c r="D1213" i="1" s="1"/>
  <c r="T1212" i="1"/>
  <c r="P1212" i="1"/>
  <c r="K1212" i="1"/>
  <c r="D1212" i="1" a="1"/>
  <c r="D1212" i="1" s="1"/>
  <c r="T1211" i="1"/>
  <c r="P1211" i="1"/>
  <c r="K1211" i="1"/>
  <c r="D1211" i="1" a="1"/>
  <c r="D1211" i="1" s="1"/>
  <c r="T1210" i="1"/>
  <c r="P1210" i="1"/>
  <c r="K1210" i="1"/>
  <c r="D1210" i="1" a="1"/>
  <c r="D1210" i="1" s="1"/>
  <c r="T1209" i="1"/>
  <c r="P1209" i="1"/>
  <c r="K1209" i="1"/>
  <c r="D1209" i="1" a="1"/>
  <c r="D1209" i="1" s="1"/>
  <c r="T1208" i="1"/>
  <c r="P1208" i="1"/>
  <c r="K1208" i="1"/>
  <c r="D1208" i="1" a="1"/>
  <c r="D1208" i="1" s="1"/>
  <c r="T1207" i="1"/>
  <c r="P1207" i="1"/>
  <c r="K1207" i="1"/>
  <c r="D1207" i="1" a="1"/>
  <c r="D1207" i="1" s="1"/>
  <c r="T1206" i="1"/>
  <c r="P1206" i="1"/>
  <c r="K1206" i="1"/>
  <c r="D1206" i="1" a="1"/>
  <c r="D1206" i="1" s="1"/>
  <c r="T1205" i="1"/>
  <c r="K1205" i="1"/>
  <c r="N1205" i="1" s="1"/>
  <c r="P1205" i="1" s="1"/>
  <c r="D1205" i="1" a="1"/>
  <c r="D1205" i="1" s="1"/>
  <c r="T1204" i="1"/>
  <c r="K1204" i="1"/>
  <c r="N1204" i="1" s="1"/>
  <c r="P1204" i="1" s="1"/>
  <c r="D1204" i="1" a="1"/>
  <c r="D1204" i="1" s="1"/>
  <c r="K1203" i="1"/>
  <c r="N1203" i="1" s="1"/>
  <c r="D1203" i="1" a="1"/>
  <c r="D1203" i="1" s="1"/>
  <c r="K1202" i="1"/>
  <c r="N1202" i="1" s="1"/>
  <c r="D1202" i="1" a="1"/>
  <c r="D1202" i="1" s="1"/>
  <c r="K1201" i="1"/>
  <c r="N1201" i="1" s="1"/>
  <c r="D1201" i="1" a="1"/>
  <c r="D1201" i="1" s="1"/>
  <c r="K1200" i="1"/>
  <c r="N1200" i="1" s="1"/>
  <c r="D1200" i="1" a="1"/>
  <c r="D1200" i="1" s="1"/>
  <c r="K1199" i="1"/>
  <c r="N1199" i="1" s="1"/>
  <c r="D1199" i="1" a="1"/>
  <c r="D1199" i="1" s="1"/>
  <c r="K1198" i="1"/>
  <c r="N1198" i="1" s="1"/>
  <c r="P1198" i="1" s="1"/>
  <c r="D1198" i="1" a="1"/>
  <c r="D1198" i="1" s="1"/>
  <c r="K1197" i="1"/>
  <c r="N1197" i="1" s="1"/>
  <c r="D1197" i="1" a="1"/>
  <c r="D1197" i="1" s="1"/>
  <c r="K1196" i="1"/>
  <c r="N1196" i="1" s="1"/>
  <c r="D1196" i="1" a="1"/>
  <c r="D1196" i="1" s="1"/>
  <c r="K1195" i="1"/>
  <c r="N1195" i="1" s="1"/>
  <c r="P1195" i="1" s="1"/>
  <c r="D1195" i="1" a="1"/>
  <c r="D1195" i="1" s="1"/>
  <c r="K1194" i="1"/>
  <c r="N1194" i="1" s="1"/>
  <c r="D1194" i="1" a="1"/>
  <c r="D1194" i="1" s="1"/>
  <c r="K1193" i="1"/>
  <c r="N1193" i="1" s="1"/>
  <c r="D1193" i="1" a="1"/>
  <c r="D1193" i="1" s="1"/>
  <c r="K1192" i="1"/>
  <c r="N1192" i="1" s="1"/>
  <c r="P1192" i="1" s="1"/>
  <c r="D1192" i="1" a="1"/>
  <c r="D1192" i="1" s="1"/>
  <c r="K1191" i="1"/>
  <c r="N1191" i="1" s="1"/>
  <c r="R1191" i="1" s="1"/>
  <c r="T1191" i="1" s="1"/>
  <c r="D1191" i="1" a="1"/>
  <c r="D1191" i="1" s="1"/>
  <c r="K1190" i="1"/>
  <c r="N1190" i="1" s="1"/>
  <c r="P1190" i="1" s="1"/>
  <c r="D1190" i="1" a="1"/>
  <c r="D1190" i="1" s="1"/>
  <c r="K1189" i="1"/>
  <c r="N1189" i="1" s="1"/>
  <c r="R1189" i="1" s="1"/>
  <c r="T1189" i="1" s="1"/>
  <c r="D1189" i="1" a="1"/>
  <c r="D1189" i="1" s="1"/>
  <c r="K1188" i="1"/>
  <c r="N1188" i="1" s="1"/>
  <c r="D1188" i="1" a="1"/>
  <c r="D1188" i="1" s="1"/>
  <c r="K1187" i="1"/>
  <c r="N1187" i="1" s="1"/>
  <c r="D1187" i="1" a="1"/>
  <c r="D1187" i="1" s="1"/>
  <c r="K1186" i="1"/>
  <c r="N1186" i="1" s="1"/>
  <c r="D1186" i="1" a="1"/>
  <c r="D1186" i="1" s="1"/>
  <c r="K1185" i="1"/>
  <c r="N1185" i="1" s="1"/>
  <c r="D1185" i="1" a="1"/>
  <c r="D1185" i="1" s="1"/>
  <c r="K1184" i="1"/>
  <c r="N1184" i="1" s="1"/>
  <c r="P1184" i="1" s="1"/>
  <c r="D1184" i="1" a="1"/>
  <c r="D1184" i="1" s="1"/>
  <c r="K1183" i="1"/>
  <c r="N1183" i="1" s="1"/>
  <c r="R1183" i="1" s="1"/>
  <c r="T1183" i="1" s="1"/>
  <c r="D1183" i="1" a="1"/>
  <c r="D1183" i="1" s="1"/>
  <c r="K1182" i="1"/>
  <c r="N1182" i="1" s="1"/>
  <c r="P1182" i="1" s="1"/>
  <c r="D1182" i="1" a="1"/>
  <c r="D1182" i="1" s="1"/>
  <c r="K1181" i="1"/>
  <c r="N1181" i="1" s="1"/>
  <c r="R1181" i="1" s="1"/>
  <c r="T1181" i="1" s="1"/>
  <c r="D1181" i="1" a="1"/>
  <c r="D1181" i="1" s="1"/>
  <c r="K1180" i="1"/>
  <c r="N1180" i="1" s="1"/>
  <c r="D1180" i="1" a="1"/>
  <c r="D1180" i="1" s="1"/>
  <c r="K1179" i="1"/>
  <c r="N1179" i="1" s="1"/>
  <c r="R1179" i="1" s="1"/>
  <c r="T1179" i="1" s="1"/>
  <c r="D1179" i="1" a="1"/>
  <c r="D1179" i="1" s="1"/>
  <c r="K1178" i="1"/>
  <c r="N1178" i="1" s="1"/>
  <c r="D1178" i="1" a="1"/>
  <c r="D1178" i="1" s="1"/>
  <c r="K1177" i="1"/>
  <c r="N1177" i="1" s="1"/>
  <c r="D1177" i="1" a="1"/>
  <c r="D1177" i="1" s="1"/>
  <c r="K1176" i="1"/>
  <c r="N1176" i="1" s="1"/>
  <c r="D1176" i="1" a="1"/>
  <c r="D1176" i="1" s="1"/>
  <c r="K1175" i="1"/>
  <c r="N1175" i="1" s="1"/>
  <c r="D1175" i="1" a="1"/>
  <c r="D1175" i="1" s="1"/>
  <c r="K1174" i="1"/>
  <c r="N1174" i="1" s="1"/>
  <c r="D1174" i="1" a="1"/>
  <c r="D1174" i="1" s="1"/>
  <c r="K1173" i="1"/>
  <c r="N1173" i="1" s="1"/>
  <c r="R1173" i="1" s="1"/>
  <c r="T1173" i="1" s="1"/>
  <c r="D1173" i="1" a="1"/>
  <c r="D1173" i="1" s="1"/>
  <c r="K1172" i="1"/>
  <c r="N1172" i="1" s="1"/>
  <c r="D1172" i="1" a="1"/>
  <c r="D1172" i="1" s="1"/>
  <c r="K1171" i="1"/>
  <c r="N1171" i="1" s="1"/>
  <c r="R1171" i="1" s="1"/>
  <c r="T1171" i="1" s="1"/>
  <c r="D1171" i="1" a="1"/>
  <c r="D1171" i="1" s="1"/>
  <c r="R1170" i="1"/>
  <c r="T1170" i="1" s="1"/>
  <c r="P1170" i="1"/>
  <c r="K1170" i="1"/>
  <c r="D1170" i="1" a="1"/>
  <c r="D1170" i="1" s="1"/>
  <c r="R1169" i="1"/>
  <c r="T1169" i="1" s="1"/>
  <c r="P1169" i="1"/>
  <c r="K1169" i="1"/>
  <c r="D1169" i="1" a="1"/>
  <c r="D1169" i="1" s="1"/>
  <c r="R1168" i="1"/>
  <c r="T1168" i="1" s="1"/>
  <c r="P1168" i="1"/>
  <c r="K1168" i="1"/>
  <c r="D1168" i="1" a="1"/>
  <c r="D1168" i="1" s="1"/>
  <c r="T1167" i="1"/>
  <c r="P1167" i="1"/>
  <c r="D1167" i="1" a="1"/>
  <c r="D1167" i="1" s="1"/>
  <c r="D1166" i="1" a="1"/>
  <c r="D1166" i="1" s="1"/>
  <c r="T1165" i="1"/>
  <c r="P1165" i="1"/>
  <c r="K1165" i="1"/>
  <c r="D1165" i="1" a="1"/>
  <c r="D1165" i="1" s="1"/>
  <c r="T1164" i="1"/>
  <c r="N1164" i="1"/>
  <c r="P1164" i="1" s="1"/>
  <c r="K1164" i="1"/>
  <c r="D1164" i="1" a="1"/>
  <c r="D1164" i="1" s="1"/>
  <c r="T1163" i="1"/>
  <c r="N1163" i="1"/>
  <c r="P1163" i="1" s="1"/>
  <c r="K1163" i="1"/>
  <c r="D1163" i="1" a="1"/>
  <c r="D1163" i="1" s="1"/>
  <c r="T1162" i="1"/>
  <c r="N1162" i="1"/>
  <c r="P1162" i="1" s="1"/>
  <c r="K1162" i="1"/>
  <c r="D1162" i="1" a="1"/>
  <c r="D1162" i="1" s="1"/>
  <c r="T1161" i="1"/>
  <c r="N1161" i="1"/>
  <c r="P1161" i="1" s="1"/>
  <c r="K1161" i="1"/>
  <c r="D1161" i="1" a="1"/>
  <c r="D1161" i="1" s="1"/>
  <c r="T1160" i="1"/>
  <c r="P1160" i="1"/>
  <c r="K1160" i="1"/>
  <c r="D1160" i="1" a="1"/>
  <c r="D1160" i="1" s="1"/>
  <c r="T1159" i="1"/>
  <c r="N1159" i="1"/>
  <c r="K1159" i="1"/>
  <c r="D1159" i="1" a="1"/>
  <c r="D1159" i="1" s="1"/>
  <c r="T1158" i="1"/>
  <c r="N1158" i="1"/>
  <c r="P1158" i="1" s="1"/>
  <c r="K1158" i="1"/>
  <c r="D1158" i="1" a="1"/>
  <c r="D1158" i="1" s="1"/>
  <c r="T1157" i="1"/>
  <c r="N1157" i="1"/>
  <c r="P1157" i="1" s="1"/>
  <c r="K1157" i="1"/>
  <c r="D1157" i="1" a="1"/>
  <c r="D1157" i="1" s="1"/>
  <c r="T1156" i="1"/>
  <c r="N1156" i="1"/>
  <c r="P1156" i="1" s="1"/>
  <c r="K1156" i="1"/>
  <c r="D1156" i="1" a="1"/>
  <c r="D1156" i="1" s="1"/>
  <c r="T1155" i="1"/>
  <c r="N1155" i="1"/>
  <c r="P1155" i="1" s="1"/>
  <c r="K1155" i="1"/>
  <c r="D1155" i="1" a="1"/>
  <c r="D1155" i="1" s="1"/>
  <c r="N1154" i="1"/>
  <c r="P1154" i="1" s="1"/>
  <c r="T1154" i="1" s="1"/>
  <c r="K1154" i="1"/>
  <c r="D1154" i="1" a="1"/>
  <c r="D1154" i="1" s="1"/>
  <c r="N1153" i="1"/>
  <c r="P1153" i="1" s="1"/>
  <c r="T1153" i="1" s="1"/>
  <c r="K1153" i="1"/>
  <c r="D1153" i="1" a="1"/>
  <c r="D1153" i="1" s="1"/>
  <c r="T1152" i="1"/>
  <c r="P1152" i="1"/>
  <c r="K1152" i="1"/>
  <c r="D1152" i="1" a="1"/>
  <c r="D1152" i="1" s="1"/>
  <c r="T1151" i="1"/>
  <c r="N1151" i="1"/>
  <c r="P1151" i="1" s="1"/>
  <c r="K1151" i="1"/>
  <c r="D1151" i="1" a="1"/>
  <c r="D1151" i="1" s="1"/>
  <c r="P1150" i="1"/>
  <c r="T1150" i="1" s="1"/>
  <c r="K1150" i="1"/>
  <c r="D1150" i="1" a="1"/>
  <c r="D1150" i="1" s="1"/>
  <c r="K1149" i="1"/>
  <c r="D1149" i="1" a="1"/>
  <c r="D1149" i="1" s="1"/>
  <c r="T1148" i="1"/>
  <c r="N1148" i="1"/>
  <c r="P1148" i="1" s="1"/>
  <c r="K1148" i="1"/>
  <c r="D1148" i="1" a="1"/>
  <c r="D1148" i="1" s="1"/>
  <c r="T1147" i="1"/>
  <c r="N1147" i="1"/>
  <c r="P1147" i="1" s="1"/>
  <c r="K1147" i="1"/>
  <c r="D1147" i="1" a="1"/>
  <c r="D1147" i="1" s="1"/>
  <c r="T1146" i="1"/>
  <c r="P1146" i="1"/>
  <c r="K1146" i="1"/>
  <c r="D1146" i="1" a="1"/>
  <c r="D1146" i="1" s="1"/>
  <c r="T1145" i="1"/>
  <c r="P1145" i="1"/>
  <c r="K1145" i="1"/>
  <c r="D1145" i="1" a="1"/>
  <c r="D1145" i="1" s="1"/>
  <c r="T1144" i="1"/>
  <c r="P1144" i="1"/>
  <c r="K1144" i="1"/>
  <c r="D1144" i="1" a="1"/>
  <c r="D1144" i="1" s="1"/>
  <c r="T1143" i="1"/>
  <c r="P1143" i="1"/>
  <c r="K1143" i="1"/>
  <c r="D1143" i="1" a="1"/>
  <c r="D1143" i="1" s="1"/>
  <c r="T1142" i="1"/>
  <c r="P1142" i="1"/>
  <c r="K1142" i="1"/>
  <c r="D1142" i="1" a="1"/>
  <c r="D1142" i="1" s="1"/>
  <c r="T1141" i="1"/>
  <c r="P1141" i="1"/>
  <c r="K1141" i="1"/>
  <c r="D1141" i="1" a="1"/>
  <c r="D1141" i="1" s="1"/>
  <c r="T1140" i="1"/>
  <c r="P1140" i="1"/>
  <c r="K1140" i="1"/>
  <c r="D1140" i="1" a="1"/>
  <c r="D1140" i="1" s="1"/>
  <c r="T1139" i="1"/>
  <c r="P1139" i="1"/>
  <c r="K1139" i="1"/>
  <c r="D1139" i="1" a="1"/>
  <c r="D1139" i="1" s="1"/>
  <c r="T1138" i="1"/>
  <c r="P1138" i="1"/>
  <c r="K1138" i="1"/>
  <c r="D1138" i="1" a="1"/>
  <c r="D1138" i="1" s="1"/>
  <c r="T1137" i="1"/>
  <c r="P1137" i="1"/>
  <c r="K1137" i="1"/>
  <c r="D1137" i="1" a="1"/>
  <c r="D1137" i="1" s="1"/>
  <c r="T1136" i="1"/>
  <c r="P1136" i="1"/>
  <c r="K1136" i="1"/>
  <c r="D1136" i="1" a="1"/>
  <c r="D1136" i="1" s="1"/>
  <c r="T1135" i="1"/>
  <c r="P1135" i="1"/>
  <c r="K1135" i="1"/>
  <c r="D1135" i="1" a="1"/>
  <c r="D1135" i="1" s="1"/>
  <c r="T1134" i="1"/>
  <c r="P1134" i="1"/>
  <c r="K1134" i="1"/>
  <c r="D1134" i="1" a="1"/>
  <c r="D1134" i="1" s="1"/>
  <c r="T1133" i="1"/>
  <c r="P1133" i="1"/>
  <c r="K1133" i="1"/>
  <c r="D1133" i="1" a="1"/>
  <c r="D1133" i="1" s="1"/>
  <c r="T1132" i="1"/>
  <c r="R1132" i="1"/>
  <c r="K1132" i="1"/>
  <c r="D1132" i="1" a="1"/>
  <c r="D1132" i="1" s="1"/>
  <c r="T1131" i="1"/>
  <c r="R1131" i="1"/>
  <c r="K1131" i="1"/>
  <c r="D1131" i="1" a="1"/>
  <c r="D1131" i="1" s="1"/>
  <c r="T1130" i="1"/>
  <c r="K1130" i="1"/>
  <c r="D1130" i="1" a="1"/>
  <c r="D1130" i="1" s="1"/>
  <c r="T1129" i="1"/>
  <c r="K1129" i="1"/>
  <c r="D1129" i="1" a="1"/>
  <c r="D1129" i="1" s="1"/>
  <c r="T1128" i="1"/>
  <c r="P1128" i="1"/>
  <c r="K1128" i="1"/>
  <c r="D1128" i="1" a="1"/>
  <c r="D1128" i="1" s="1"/>
  <c r="T1127" i="1"/>
  <c r="P1127" i="1"/>
  <c r="K1127" i="1"/>
  <c r="D1127" i="1" a="1"/>
  <c r="D1127" i="1" s="1"/>
  <c r="T1126" i="1"/>
  <c r="P1126" i="1"/>
  <c r="K1126" i="1"/>
  <c r="D1126" i="1" a="1"/>
  <c r="D1126" i="1" s="1"/>
  <c r="T1125" i="1"/>
  <c r="P1125" i="1"/>
  <c r="K1125" i="1"/>
  <c r="D1125" i="1" a="1"/>
  <c r="D1125" i="1" s="1"/>
  <c r="T1124" i="1"/>
  <c r="K1124" i="1"/>
  <c r="D1124" i="1" a="1"/>
  <c r="D1124" i="1" s="1"/>
  <c r="T1123" i="1"/>
  <c r="K1123" i="1"/>
  <c r="D1123" i="1" a="1"/>
  <c r="D1123" i="1" s="1"/>
  <c r="T1122" i="1"/>
  <c r="K1122" i="1"/>
  <c r="D1122" i="1" a="1"/>
  <c r="D1122" i="1" s="1"/>
  <c r="T1121" i="1"/>
  <c r="K1121" i="1"/>
  <c r="D1121" i="1" a="1"/>
  <c r="D1121" i="1" s="1"/>
  <c r="T1120" i="1"/>
  <c r="K1120" i="1"/>
  <c r="D1120" i="1" a="1"/>
  <c r="D1120" i="1" s="1"/>
  <c r="T1119" i="1"/>
  <c r="K1119" i="1"/>
  <c r="D1119" i="1" a="1"/>
  <c r="D1119" i="1" s="1"/>
  <c r="T1118" i="1"/>
  <c r="K1118" i="1"/>
  <c r="D1118" i="1" a="1"/>
  <c r="D1118" i="1" s="1"/>
  <c r="T1117" i="1"/>
  <c r="K1117" i="1"/>
  <c r="D1117" i="1" a="1"/>
  <c r="D1117" i="1" s="1"/>
  <c r="T1116" i="1"/>
  <c r="K1116" i="1"/>
  <c r="D1116" i="1" a="1"/>
  <c r="D1116" i="1" s="1"/>
  <c r="T1115" i="1"/>
  <c r="K1115" i="1"/>
  <c r="D1115" i="1" a="1"/>
  <c r="D1115" i="1" s="1"/>
  <c r="T1114" i="1"/>
  <c r="K1114" i="1"/>
  <c r="D1114" i="1" a="1"/>
  <c r="D1114" i="1" s="1"/>
  <c r="T1113" i="1"/>
  <c r="K1113" i="1"/>
  <c r="D1113" i="1" a="1"/>
  <c r="D1113" i="1" s="1"/>
  <c r="T1112" i="1"/>
  <c r="K1112" i="1"/>
  <c r="D1112" i="1" a="1"/>
  <c r="D1112" i="1" s="1"/>
  <c r="T1111" i="1"/>
  <c r="K1111" i="1"/>
  <c r="D1111" i="1" a="1"/>
  <c r="D1111" i="1" s="1"/>
  <c r="T1110" i="1"/>
  <c r="K1110" i="1"/>
  <c r="D1110" i="1" a="1"/>
  <c r="D1110" i="1" s="1"/>
  <c r="T1109" i="1"/>
  <c r="K1109" i="1"/>
  <c r="D1109" i="1" a="1"/>
  <c r="D1109" i="1" s="1"/>
  <c r="T1108" i="1"/>
  <c r="R1108" i="1"/>
  <c r="K1108" i="1"/>
  <c r="D1108" i="1" a="1"/>
  <c r="D1108" i="1" s="1"/>
  <c r="T1107" i="1"/>
  <c r="R1107" i="1"/>
  <c r="K1107" i="1"/>
  <c r="D1107" i="1" a="1"/>
  <c r="D1107" i="1" s="1"/>
  <c r="T1106" i="1"/>
  <c r="R1106" i="1"/>
  <c r="N1106" i="1"/>
  <c r="K1106" i="1"/>
  <c r="D1106" i="1" a="1"/>
  <c r="D1106" i="1" s="1"/>
  <c r="T1105" i="1"/>
  <c r="R1105" i="1"/>
  <c r="N1105" i="1"/>
  <c r="K1105" i="1"/>
  <c r="D1105" i="1" a="1"/>
  <c r="D1105" i="1" s="1"/>
  <c r="T1104" i="1"/>
  <c r="R1104" i="1"/>
  <c r="N1104" i="1"/>
  <c r="K1104" i="1"/>
  <c r="D1104" i="1" a="1"/>
  <c r="D1104" i="1" s="1"/>
  <c r="T1103" i="1"/>
  <c r="R1103" i="1"/>
  <c r="N1103" i="1"/>
  <c r="K1103" i="1"/>
  <c r="T1102" i="1"/>
  <c r="R1102" i="1"/>
  <c r="N1102" i="1"/>
  <c r="K1102" i="1"/>
  <c r="T1101" i="1"/>
  <c r="R1101" i="1"/>
  <c r="N1101" i="1"/>
  <c r="K1101" i="1"/>
  <c r="T1100" i="1"/>
  <c r="R1100" i="1"/>
  <c r="N1100" i="1"/>
  <c r="K1100" i="1"/>
  <c r="T1099" i="1"/>
  <c r="N1099" i="1"/>
  <c r="K1099" i="1"/>
  <c r="T1098" i="1"/>
  <c r="R1098" i="1"/>
  <c r="N1098" i="1"/>
  <c r="K1098" i="1"/>
  <c r="R1097" i="1"/>
  <c r="N1097" i="1"/>
  <c r="P1097" i="1" s="1"/>
  <c r="T1097" i="1" s="1"/>
  <c r="K1097" i="1"/>
  <c r="T1096" i="1"/>
  <c r="R1096" i="1"/>
  <c r="N1096" i="1"/>
  <c r="K1096" i="1"/>
  <c r="T1095" i="1"/>
  <c r="R1095" i="1"/>
  <c r="N1095" i="1"/>
  <c r="K1095" i="1"/>
  <c r="T1094" i="1"/>
  <c r="R1094" i="1"/>
  <c r="N1094" i="1"/>
  <c r="K1094" i="1"/>
  <c r="T1093" i="1"/>
  <c r="R1093" i="1"/>
  <c r="N1093" i="1"/>
  <c r="K1093" i="1"/>
  <c r="E1093" i="1"/>
  <c r="T1092" i="1"/>
  <c r="N1092" i="1"/>
  <c r="P1092" i="1" s="1"/>
  <c r="K1092" i="1"/>
  <c r="D1092" i="1" a="1"/>
  <c r="D1092" i="1" s="1"/>
  <c r="T1091" i="1"/>
  <c r="R1091" i="1"/>
  <c r="N1091" i="1"/>
  <c r="K1091" i="1"/>
  <c r="D1091" i="1" a="1"/>
  <c r="D1091" i="1" s="1"/>
  <c r="T1090" i="1"/>
  <c r="R1090" i="1"/>
  <c r="N1090" i="1"/>
  <c r="K1090" i="1"/>
  <c r="D1090" i="1" a="1"/>
  <c r="D1090" i="1" s="1"/>
  <c r="T1089" i="1"/>
  <c r="R1089" i="1"/>
  <c r="N1089" i="1"/>
  <c r="K1089" i="1"/>
  <c r="D1089" i="1" a="1"/>
  <c r="D1089" i="1" s="1"/>
  <c r="T1088" i="1"/>
  <c r="R1088" i="1"/>
  <c r="N1088" i="1"/>
  <c r="K1088" i="1"/>
  <c r="D1088" i="1" a="1"/>
  <c r="D1088" i="1" s="1"/>
  <c r="T1087" i="1"/>
  <c r="R1087" i="1"/>
  <c r="N1087" i="1"/>
  <c r="K1087" i="1"/>
  <c r="D1087" i="1" a="1"/>
  <c r="D1087" i="1" s="1"/>
  <c r="T1086" i="1"/>
  <c r="R1086" i="1"/>
  <c r="N1086" i="1"/>
  <c r="K1086" i="1"/>
  <c r="D1086" i="1" a="1"/>
  <c r="D1086" i="1" s="1"/>
  <c r="T1085" i="1"/>
  <c r="R1085" i="1"/>
  <c r="N1085" i="1"/>
  <c r="K1085" i="1"/>
  <c r="D1085" i="1" a="1"/>
  <c r="D1085" i="1" s="1"/>
  <c r="T1084" i="1"/>
  <c r="R1084" i="1"/>
  <c r="N1084" i="1"/>
  <c r="K1084" i="1"/>
  <c r="D1084" i="1" a="1"/>
  <c r="D1084" i="1" s="1"/>
  <c r="T1083" i="1"/>
  <c r="R1083" i="1"/>
  <c r="N1083" i="1"/>
  <c r="K1083" i="1"/>
  <c r="D1083" i="1" a="1"/>
  <c r="D1083" i="1" s="1"/>
  <c r="T1082" i="1"/>
  <c r="R1082" i="1"/>
  <c r="N1082" i="1"/>
  <c r="K1082" i="1"/>
  <c r="D1082" i="1" a="1"/>
  <c r="D1082" i="1" s="1"/>
  <c r="T1081" i="1"/>
  <c r="R1081" i="1"/>
  <c r="N1081" i="1"/>
  <c r="K1081" i="1"/>
  <c r="D1081" i="1" a="1"/>
  <c r="D1081" i="1" s="1"/>
  <c r="R1080" i="1"/>
  <c r="N1080" i="1"/>
  <c r="P1080" i="1" s="1"/>
  <c r="T1080" i="1" s="1"/>
  <c r="K1080" i="1"/>
  <c r="D1080" i="1" a="1"/>
  <c r="D1080" i="1" s="1"/>
  <c r="T1079" i="1"/>
  <c r="P1079" i="1"/>
  <c r="K1079" i="1"/>
  <c r="D1079" i="1" a="1"/>
  <c r="D1079" i="1" s="1"/>
  <c r="T1078" i="1"/>
  <c r="R1078" i="1"/>
  <c r="N1078" i="1"/>
  <c r="K1078" i="1"/>
  <c r="D1078" i="1" a="1"/>
  <c r="D1078" i="1" s="1"/>
  <c r="T1077" i="1"/>
  <c r="R1077" i="1"/>
  <c r="N1077" i="1"/>
  <c r="K1077" i="1"/>
  <c r="D1077" i="1" a="1"/>
  <c r="D1077" i="1" s="1"/>
  <c r="T1076" i="1"/>
  <c r="N1076" i="1"/>
  <c r="P1076" i="1" s="1"/>
  <c r="K1076" i="1"/>
  <c r="D1076" i="1" a="1"/>
  <c r="D1076" i="1" s="1"/>
  <c r="T1075" i="1"/>
  <c r="R1075" i="1"/>
  <c r="N1075" i="1"/>
  <c r="K1075" i="1"/>
  <c r="D1075" i="1" a="1"/>
  <c r="D1075" i="1" s="1"/>
  <c r="R1074" i="1"/>
  <c r="T1074" i="1" s="1"/>
  <c r="N1074" i="1"/>
  <c r="K1074" i="1"/>
  <c r="D1074" i="1" a="1"/>
  <c r="D1074" i="1" s="1"/>
  <c r="T1073" i="1"/>
  <c r="R1073" i="1"/>
  <c r="N1073" i="1"/>
  <c r="K1073" i="1"/>
  <c r="D1073" i="1" a="1"/>
  <c r="D1073" i="1" s="1"/>
  <c r="T1072" i="1"/>
  <c r="R1072" i="1"/>
  <c r="N1072" i="1"/>
  <c r="K1072" i="1"/>
  <c r="D1072" i="1" a="1"/>
  <c r="D1072" i="1" s="1"/>
  <c r="T1071" i="1"/>
  <c r="R1071" i="1"/>
  <c r="N1071" i="1"/>
  <c r="K1071" i="1"/>
  <c r="D1071" i="1" a="1"/>
  <c r="D1071" i="1" s="1"/>
  <c r="T1070" i="1"/>
  <c r="R1070" i="1"/>
  <c r="N1070" i="1"/>
  <c r="K1070" i="1"/>
  <c r="D1070" i="1" a="1"/>
  <c r="D1070" i="1" s="1"/>
  <c r="T1069" i="1"/>
  <c r="N1069" i="1"/>
  <c r="P1069" i="1" s="1"/>
  <c r="K1069" i="1"/>
  <c r="D1069" i="1" a="1"/>
  <c r="D1069" i="1" s="1"/>
  <c r="T1068" i="1"/>
  <c r="P1068" i="1"/>
  <c r="K1068" i="1"/>
  <c r="D1068" i="1" a="1"/>
  <c r="D1068" i="1" s="1"/>
  <c r="T1067" i="1"/>
  <c r="P1067" i="1"/>
  <c r="K1067" i="1"/>
  <c r="D1067" i="1" a="1"/>
  <c r="D1067" i="1" s="1"/>
  <c r="T1066" i="1"/>
  <c r="R1066" i="1"/>
  <c r="N1066" i="1"/>
  <c r="K1066" i="1"/>
  <c r="D1066" i="1" a="1"/>
  <c r="D1066" i="1" s="1"/>
  <c r="T1065" i="1"/>
  <c r="P1065" i="1"/>
  <c r="K1065" i="1"/>
  <c r="D1065" i="1" a="1"/>
  <c r="D1065" i="1" s="1"/>
  <c r="T1064" i="1"/>
  <c r="R1064" i="1"/>
  <c r="N1064" i="1"/>
  <c r="K1064" i="1"/>
  <c r="D1064" i="1" a="1"/>
  <c r="D1064" i="1" s="1"/>
  <c r="R1063" i="1"/>
  <c r="N1063" i="1"/>
  <c r="P1063" i="1" s="1"/>
  <c r="T1063" i="1" s="1"/>
  <c r="K1063" i="1"/>
  <c r="D1063" i="1" a="1"/>
  <c r="D1063" i="1" s="1"/>
  <c r="T1062" i="1"/>
  <c r="K1062" i="1"/>
  <c r="D1062" i="1" a="1"/>
  <c r="D1062" i="1" s="1"/>
  <c r="T1061" i="1"/>
  <c r="K1061" i="1"/>
  <c r="D1061" i="1" a="1"/>
  <c r="D1061" i="1" s="1"/>
  <c r="T1060" i="1"/>
  <c r="K1060" i="1"/>
  <c r="D1060" i="1" a="1"/>
  <c r="D1060" i="1" s="1"/>
  <c r="T1059" i="1"/>
  <c r="K1059" i="1"/>
  <c r="D1059" i="1" a="1"/>
  <c r="D1059" i="1" s="1"/>
  <c r="T1058" i="1"/>
  <c r="K1058" i="1"/>
  <c r="D1058" i="1" a="1"/>
  <c r="D1058" i="1" s="1"/>
  <c r="R1057" i="1"/>
  <c r="N1057" i="1"/>
  <c r="P1057" i="1" s="1"/>
  <c r="T1057" i="1" s="1"/>
  <c r="K1057" i="1"/>
  <c r="D1057" i="1" a="1"/>
  <c r="D1057" i="1" s="1"/>
  <c r="R1056" i="1"/>
  <c r="N1056" i="1"/>
  <c r="P1056" i="1" s="1"/>
  <c r="T1056" i="1" s="1"/>
  <c r="K1056" i="1"/>
  <c r="D1056" i="1" a="1"/>
  <c r="D1056" i="1" s="1"/>
  <c r="R1055" i="1"/>
  <c r="N1055" i="1"/>
  <c r="P1055" i="1" s="1"/>
  <c r="T1055" i="1" s="1"/>
  <c r="K1055" i="1"/>
  <c r="D1055" i="1" a="1"/>
  <c r="D1055" i="1" s="1"/>
  <c r="T1054" i="1"/>
  <c r="R1054" i="1"/>
  <c r="K1054" i="1"/>
  <c r="D1054" i="1" a="1"/>
  <c r="D1054" i="1" s="1"/>
  <c r="T1053" i="1"/>
  <c r="R1053" i="1"/>
  <c r="N1053" i="1"/>
  <c r="K1053" i="1"/>
  <c r="D1053" i="1" a="1"/>
  <c r="D1053" i="1" s="1"/>
  <c r="T1052" i="1"/>
  <c r="R1052" i="1"/>
  <c r="N1052" i="1"/>
  <c r="K1052" i="1"/>
  <c r="D1052" i="1" a="1"/>
  <c r="D1052" i="1" s="1"/>
  <c r="T1051" i="1"/>
  <c r="R1051" i="1"/>
  <c r="N1051" i="1"/>
  <c r="K1051" i="1"/>
  <c r="D1051" i="1" a="1"/>
  <c r="D1051" i="1" s="1"/>
  <c r="K1050" i="1"/>
  <c r="D1050" i="1" a="1"/>
  <c r="D1050" i="1" s="1"/>
  <c r="K1049" i="1"/>
  <c r="D1049" i="1" a="1"/>
  <c r="D1049" i="1" s="1"/>
  <c r="K1048" i="1"/>
  <c r="D1048" i="1" a="1"/>
  <c r="D1048" i="1" s="1"/>
  <c r="K1047" i="1"/>
  <c r="D1047" i="1" a="1"/>
  <c r="D1047" i="1" s="1"/>
  <c r="K1046" i="1"/>
  <c r="D1046" i="1" a="1"/>
  <c r="D1046" i="1" s="1"/>
  <c r="K1045" i="1"/>
  <c r="D1045" i="1" a="1"/>
  <c r="D1045" i="1" s="1"/>
  <c r="K1044" i="1"/>
  <c r="D1044" i="1" a="1"/>
  <c r="D1044" i="1" s="1"/>
  <c r="K1043" i="1"/>
  <c r="D1043" i="1" a="1"/>
  <c r="D1043" i="1" s="1"/>
  <c r="K1042" i="1"/>
  <c r="D1042" i="1" a="1"/>
  <c r="D1042" i="1" s="1"/>
  <c r="K1041" i="1"/>
  <c r="D1041" i="1" a="1"/>
  <c r="D1041" i="1" s="1"/>
  <c r="K1040" i="1"/>
  <c r="D1040" i="1" a="1"/>
  <c r="D1040" i="1" s="1"/>
  <c r="K1039" i="1"/>
  <c r="D1039" i="1" a="1"/>
  <c r="D1039" i="1" s="1"/>
  <c r="K1038" i="1"/>
  <c r="D1038" i="1" a="1"/>
  <c r="D1038" i="1" s="1"/>
  <c r="K1037" i="1"/>
  <c r="D1037" i="1" a="1"/>
  <c r="D1037" i="1" s="1"/>
  <c r="K1036" i="1"/>
  <c r="D1036" i="1" a="1"/>
  <c r="D1036" i="1" s="1"/>
  <c r="K1035" i="1"/>
  <c r="D1035" i="1" a="1"/>
  <c r="D1035" i="1" s="1"/>
  <c r="K1034" i="1"/>
  <c r="D1034" i="1" a="1"/>
  <c r="D1034" i="1" s="1"/>
  <c r="K1033" i="1"/>
  <c r="D1033" i="1" a="1"/>
  <c r="D1033" i="1" s="1"/>
  <c r="K1032" i="1"/>
  <c r="D1032" i="1" a="1"/>
  <c r="D1032" i="1" s="1"/>
  <c r="K1031" i="1"/>
  <c r="D1031" i="1" a="1"/>
  <c r="D1031" i="1" s="1"/>
  <c r="K1030" i="1"/>
  <c r="D1030" i="1" a="1"/>
  <c r="D1030" i="1" s="1"/>
  <c r="K1029" i="1"/>
  <c r="D1029" i="1" a="1"/>
  <c r="D1029" i="1" s="1"/>
  <c r="K1028" i="1"/>
  <c r="D1028" i="1" a="1"/>
  <c r="D1028" i="1" s="1"/>
  <c r="K1027" i="1"/>
  <c r="D1027" i="1" a="1"/>
  <c r="D1027" i="1" s="1"/>
  <c r="K1026" i="1"/>
  <c r="D1026" i="1" a="1"/>
  <c r="D1026" i="1" s="1"/>
  <c r="K1025" i="1"/>
  <c r="D1025" i="1" a="1"/>
  <c r="D1025" i="1" s="1"/>
  <c r="K1024" i="1"/>
  <c r="D1024" i="1" a="1"/>
  <c r="D1024" i="1" s="1"/>
  <c r="K1023" i="1"/>
  <c r="D1023" i="1" a="1"/>
  <c r="D1023" i="1" s="1"/>
  <c r="K1022" i="1"/>
  <c r="D1022" i="1" a="1"/>
  <c r="D1022" i="1" s="1"/>
  <c r="K1021" i="1"/>
  <c r="D1021" i="1" a="1"/>
  <c r="D1021" i="1" s="1"/>
  <c r="K1020" i="1"/>
  <c r="D1020" i="1" a="1"/>
  <c r="D1020" i="1" s="1"/>
  <c r="K1019" i="1"/>
  <c r="D1019" i="1" a="1"/>
  <c r="D1019" i="1" s="1"/>
  <c r="K1018" i="1"/>
  <c r="D1018" i="1" a="1"/>
  <c r="D1018" i="1" s="1"/>
  <c r="K1017" i="1"/>
  <c r="D1017" i="1" a="1"/>
  <c r="D1017" i="1" s="1"/>
  <c r="K1016" i="1"/>
  <c r="D1016" i="1" a="1"/>
  <c r="D1016" i="1" s="1"/>
  <c r="K1015" i="1"/>
  <c r="D1015" i="1" a="1"/>
  <c r="D1015" i="1" s="1"/>
  <c r="K1014" i="1"/>
  <c r="D1014" i="1" a="1"/>
  <c r="D1014" i="1" s="1"/>
  <c r="K1013" i="1"/>
  <c r="D1013" i="1" a="1"/>
  <c r="D1013" i="1" s="1"/>
  <c r="K1012" i="1"/>
  <c r="D1012" i="1" a="1"/>
  <c r="D1012" i="1" s="1"/>
  <c r="K1011" i="1"/>
  <c r="D1011" i="1" a="1"/>
  <c r="D1011" i="1" s="1"/>
  <c r="K1010" i="1"/>
  <c r="D1010" i="1" a="1"/>
  <c r="D1010" i="1" s="1"/>
  <c r="K1009" i="1"/>
  <c r="D1009" i="1" a="1"/>
  <c r="D1009" i="1" s="1"/>
  <c r="K1008" i="1"/>
  <c r="D1008" i="1" a="1"/>
  <c r="D1008" i="1" s="1"/>
  <c r="K1007" i="1"/>
  <c r="D1007" i="1" a="1"/>
  <c r="D1007" i="1" s="1"/>
  <c r="K1006" i="1"/>
  <c r="D1006" i="1" a="1"/>
  <c r="D1006" i="1" s="1"/>
  <c r="K1005" i="1"/>
  <c r="D1005" i="1" a="1"/>
  <c r="D1005" i="1" s="1"/>
  <c r="K1004" i="1"/>
  <c r="D1004" i="1" a="1"/>
  <c r="D1004" i="1" s="1"/>
  <c r="K1003" i="1"/>
  <c r="D1003" i="1" a="1"/>
  <c r="D1003" i="1" s="1"/>
  <c r="K1002" i="1"/>
  <c r="D1002" i="1" a="1"/>
  <c r="D1002" i="1" s="1"/>
  <c r="K1001" i="1"/>
  <c r="D1001" i="1" a="1"/>
  <c r="D1001" i="1" s="1"/>
  <c r="K1000" i="1"/>
  <c r="D1000" i="1" a="1"/>
  <c r="D1000" i="1" s="1"/>
  <c r="K999" i="1"/>
  <c r="D999" i="1" a="1"/>
  <c r="D999" i="1" s="1"/>
  <c r="K998" i="1"/>
  <c r="D998" i="1" a="1"/>
  <c r="D998" i="1" s="1"/>
  <c r="K997" i="1"/>
  <c r="D997" i="1" a="1"/>
  <c r="D997" i="1" s="1"/>
  <c r="K996" i="1"/>
  <c r="D996" i="1" a="1"/>
  <c r="D996" i="1" s="1"/>
  <c r="K995" i="1"/>
  <c r="D995" i="1" a="1"/>
  <c r="D995" i="1" s="1"/>
  <c r="K994" i="1"/>
  <c r="D994" i="1" a="1"/>
  <c r="D994" i="1" s="1"/>
  <c r="K993" i="1"/>
  <c r="D993" i="1" a="1"/>
  <c r="D993" i="1" s="1"/>
  <c r="K992" i="1"/>
  <c r="D992" i="1" a="1"/>
  <c r="D992" i="1" s="1"/>
  <c r="K991" i="1"/>
  <c r="D991" i="1" a="1"/>
  <c r="D991" i="1" s="1"/>
  <c r="K990" i="1"/>
  <c r="D990" i="1" a="1"/>
  <c r="D990" i="1" s="1"/>
  <c r="K989" i="1"/>
  <c r="D989" i="1" a="1"/>
  <c r="D989" i="1" s="1"/>
  <c r="K988" i="1"/>
  <c r="D988" i="1" a="1"/>
  <c r="D988" i="1" s="1"/>
  <c r="K987" i="1"/>
  <c r="D987" i="1" a="1"/>
  <c r="D987" i="1" s="1"/>
  <c r="K986" i="1"/>
  <c r="D986" i="1" a="1"/>
  <c r="D986" i="1" s="1"/>
  <c r="K985" i="1"/>
  <c r="D985" i="1" a="1"/>
  <c r="D985" i="1" s="1"/>
  <c r="K984" i="1"/>
  <c r="D984" i="1" a="1"/>
  <c r="D984" i="1" s="1"/>
  <c r="K983" i="1"/>
  <c r="D983" i="1" a="1"/>
  <c r="D983" i="1" s="1"/>
  <c r="K982" i="1"/>
  <c r="D982" i="1" a="1"/>
  <c r="D982" i="1" s="1"/>
  <c r="K981" i="1"/>
  <c r="D981" i="1" a="1"/>
  <c r="D981" i="1" s="1"/>
  <c r="K980" i="1"/>
  <c r="D980" i="1" a="1"/>
  <c r="D980" i="1" s="1"/>
  <c r="K979" i="1"/>
  <c r="D979" i="1" a="1"/>
  <c r="D979" i="1" s="1"/>
  <c r="K978" i="1"/>
  <c r="D978" i="1" a="1"/>
  <c r="D978" i="1" s="1"/>
  <c r="K977" i="1"/>
  <c r="D977" i="1" a="1"/>
  <c r="D977" i="1" s="1"/>
  <c r="K976" i="1"/>
  <c r="D976" i="1" a="1"/>
  <c r="D976" i="1" s="1"/>
  <c r="K975" i="1"/>
  <c r="D975" i="1" a="1"/>
  <c r="D975" i="1" s="1"/>
  <c r="K974" i="1"/>
  <c r="D974" i="1" a="1"/>
  <c r="D974" i="1" s="1"/>
  <c r="K973" i="1"/>
  <c r="D973" i="1" a="1"/>
  <c r="D973" i="1" s="1"/>
  <c r="K972" i="1"/>
  <c r="D972" i="1" a="1"/>
  <c r="D972" i="1" s="1"/>
  <c r="K971" i="1"/>
  <c r="D971" i="1" a="1"/>
  <c r="D971" i="1" s="1"/>
  <c r="K970" i="1"/>
  <c r="D970" i="1" a="1"/>
  <c r="D970" i="1" s="1"/>
  <c r="K969" i="1"/>
  <c r="D969" i="1" a="1"/>
  <c r="D969" i="1" s="1"/>
  <c r="K968" i="1"/>
  <c r="D968" i="1" a="1"/>
  <c r="D968" i="1" s="1"/>
  <c r="K967" i="1"/>
  <c r="D967" i="1" a="1"/>
  <c r="D967" i="1" s="1"/>
  <c r="K966" i="1"/>
  <c r="D966" i="1" a="1"/>
  <c r="D966" i="1" s="1"/>
  <c r="K965" i="1"/>
  <c r="D965" i="1" a="1"/>
  <c r="D965" i="1" s="1"/>
  <c r="K964" i="1"/>
  <c r="D964" i="1" a="1"/>
  <c r="D964" i="1" s="1"/>
  <c r="K963" i="1"/>
  <c r="D963" i="1" a="1"/>
  <c r="D963" i="1" s="1"/>
  <c r="K962" i="1"/>
  <c r="D962" i="1" a="1"/>
  <c r="D962" i="1" s="1"/>
  <c r="K961" i="1"/>
  <c r="D961" i="1" a="1"/>
  <c r="D961" i="1" s="1"/>
  <c r="K960" i="1"/>
  <c r="D960" i="1" a="1"/>
  <c r="D960" i="1" s="1"/>
  <c r="K959" i="1"/>
  <c r="D959" i="1" a="1"/>
  <c r="D959" i="1" s="1"/>
  <c r="K958" i="1"/>
  <c r="D958" i="1" a="1"/>
  <c r="D958" i="1" s="1"/>
  <c r="R957" i="1"/>
  <c r="K957" i="1"/>
  <c r="D957" i="1" a="1"/>
  <c r="D957" i="1" s="1"/>
  <c r="K956" i="1"/>
  <c r="D956" i="1" a="1"/>
  <c r="D956" i="1" s="1"/>
  <c r="K955" i="1"/>
  <c r="D955" i="1" a="1"/>
  <c r="D955" i="1" s="1"/>
  <c r="K954" i="1"/>
  <c r="D954" i="1" a="1"/>
  <c r="D954" i="1" s="1"/>
  <c r="K953" i="1"/>
  <c r="D953" i="1" a="1"/>
  <c r="D953" i="1" s="1"/>
  <c r="K952" i="1"/>
  <c r="D952" i="1" a="1"/>
  <c r="D952" i="1" s="1"/>
  <c r="K951" i="1"/>
  <c r="D951" i="1" a="1"/>
  <c r="D951" i="1" s="1"/>
  <c r="K950" i="1"/>
  <c r="D950" i="1" a="1"/>
  <c r="D950" i="1" s="1"/>
  <c r="K949" i="1"/>
  <c r="D949" i="1" a="1"/>
  <c r="D949" i="1" s="1"/>
  <c r="K948" i="1"/>
  <c r="D948" i="1" a="1"/>
  <c r="D948" i="1" s="1"/>
  <c r="K947" i="1"/>
  <c r="D947" i="1" a="1"/>
  <c r="D947" i="1" s="1"/>
  <c r="K946" i="1"/>
  <c r="D946" i="1" a="1"/>
  <c r="D946" i="1" s="1"/>
  <c r="K945" i="1"/>
  <c r="D945" i="1" a="1"/>
  <c r="D945" i="1" s="1"/>
  <c r="K944" i="1"/>
  <c r="D944" i="1" a="1"/>
  <c r="D944" i="1" s="1"/>
  <c r="K943" i="1"/>
  <c r="D943" i="1" a="1"/>
  <c r="D943" i="1" s="1"/>
  <c r="K942" i="1"/>
  <c r="D942" i="1" a="1"/>
  <c r="D942" i="1" s="1"/>
  <c r="K941" i="1"/>
  <c r="D941" i="1" a="1"/>
  <c r="D941" i="1" s="1"/>
  <c r="K940" i="1"/>
  <c r="D940" i="1" a="1"/>
  <c r="D940" i="1" s="1"/>
  <c r="K939" i="1"/>
  <c r="D939" i="1" a="1"/>
  <c r="D939" i="1" s="1"/>
  <c r="K938" i="1"/>
  <c r="D938" i="1" a="1"/>
  <c r="D938" i="1" s="1"/>
  <c r="K937" i="1"/>
  <c r="D937" i="1" a="1"/>
  <c r="D937" i="1" s="1"/>
  <c r="K936" i="1"/>
  <c r="D936" i="1" a="1"/>
  <c r="D936" i="1" s="1"/>
  <c r="K935" i="1"/>
  <c r="D935" i="1" a="1"/>
  <c r="D935" i="1" s="1"/>
  <c r="K934" i="1"/>
  <c r="D934" i="1" a="1"/>
  <c r="D934" i="1" s="1"/>
  <c r="K933" i="1"/>
  <c r="D933" i="1" a="1"/>
  <c r="D933" i="1" s="1"/>
  <c r="K932" i="1"/>
  <c r="D932" i="1" a="1"/>
  <c r="D932" i="1" s="1"/>
  <c r="K931" i="1"/>
  <c r="D931" i="1" a="1"/>
  <c r="D931" i="1" s="1"/>
  <c r="K930" i="1"/>
  <c r="D930" i="1" a="1"/>
  <c r="D930" i="1" s="1"/>
  <c r="K929" i="1"/>
  <c r="D929" i="1" a="1"/>
  <c r="D929" i="1" s="1"/>
  <c r="K928" i="1"/>
  <c r="D928" i="1" a="1"/>
  <c r="D928" i="1" s="1"/>
  <c r="K927" i="1"/>
  <c r="D927" i="1" a="1"/>
  <c r="D927" i="1" s="1"/>
  <c r="K926" i="1"/>
  <c r="D926" i="1" a="1"/>
  <c r="D926" i="1" s="1"/>
  <c r="K925" i="1"/>
  <c r="D925" i="1" a="1"/>
  <c r="D925" i="1" s="1"/>
  <c r="K924" i="1"/>
  <c r="D924" i="1" a="1"/>
  <c r="D924" i="1" s="1"/>
  <c r="K923" i="1"/>
  <c r="D923" i="1" a="1"/>
  <c r="D923" i="1" s="1"/>
  <c r="K922" i="1"/>
  <c r="D922" i="1" a="1"/>
  <c r="D922" i="1" s="1"/>
  <c r="K921" i="1"/>
  <c r="D921" i="1" a="1"/>
  <c r="D921" i="1" s="1"/>
  <c r="K920" i="1"/>
  <c r="D920" i="1" a="1"/>
  <c r="D920" i="1" s="1"/>
  <c r="K919" i="1"/>
  <c r="D919" i="1" a="1"/>
  <c r="D919" i="1" s="1"/>
  <c r="K918" i="1"/>
  <c r="D918" i="1" a="1"/>
  <c r="D918" i="1" s="1"/>
  <c r="K917" i="1"/>
  <c r="D917" i="1" a="1"/>
  <c r="D917" i="1" s="1"/>
  <c r="K916" i="1"/>
  <c r="D916" i="1" a="1"/>
  <c r="D916" i="1" s="1"/>
  <c r="K915" i="1"/>
  <c r="D915" i="1" a="1"/>
  <c r="D915" i="1" s="1"/>
  <c r="K914" i="1"/>
  <c r="D914" i="1" a="1"/>
  <c r="D914" i="1" s="1"/>
  <c r="K913" i="1"/>
  <c r="D913" i="1" a="1"/>
  <c r="D913" i="1" s="1"/>
  <c r="K912" i="1"/>
  <c r="D912" i="1" a="1"/>
  <c r="D912" i="1" s="1"/>
  <c r="K911" i="1"/>
  <c r="D911" i="1" a="1"/>
  <c r="D911" i="1" s="1"/>
  <c r="K910" i="1"/>
  <c r="D910" i="1" a="1"/>
  <c r="D910" i="1" s="1"/>
  <c r="K909" i="1"/>
  <c r="D909" i="1" a="1"/>
  <c r="D909" i="1" s="1"/>
  <c r="K908" i="1"/>
  <c r="D908" i="1" a="1"/>
  <c r="D908" i="1" s="1"/>
  <c r="K907" i="1"/>
  <c r="D907" i="1" a="1"/>
  <c r="D907" i="1" s="1"/>
  <c r="K906" i="1"/>
  <c r="D906" i="1" a="1"/>
  <c r="D906" i="1" s="1"/>
  <c r="K905" i="1"/>
  <c r="D905" i="1" a="1"/>
  <c r="D905" i="1" s="1"/>
  <c r="K904" i="1"/>
  <c r="D904" i="1" a="1"/>
  <c r="D904" i="1" s="1"/>
  <c r="K903" i="1"/>
  <c r="D903" i="1" a="1"/>
  <c r="D903" i="1" s="1"/>
  <c r="K902" i="1"/>
  <c r="D902" i="1" a="1"/>
  <c r="D902" i="1" s="1"/>
  <c r="K901" i="1"/>
  <c r="D901" i="1" a="1"/>
  <c r="D901" i="1" s="1"/>
  <c r="K900" i="1"/>
  <c r="D900" i="1" a="1"/>
  <c r="D900" i="1" s="1"/>
  <c r="K899" i="1"/>
  <c r="D899" i="1" a="1"/>
  <c r="D899" i="1" s="1"/>
  <c r="K898" i="1"/>
  <c r="D898" i="1" a="1"/>
  <c r="D898" i="1" s="1"/>
  <c r="K897" i="1"/>
  <c r="D897" i="1" a="1"/>
  <c r="D897" i="1" s="1"/>
  <c r="K896" i="1"/>
  <c r="D896" i="1" a="1"/>
  <c r="D896" i="1" s="1"/>
  <c r="K895" i="1"/>
  <c r="D895" i="1" a="1"/>
  <c r="D895" i="1" s="1"/>
  <c r="K894" i="1"/>
  <c r="D894" i="1" a="1"/>
  <c r="D894" i="1" s="1"/>
  <c r="K893" i="1"/>
  <c r="D893" i="1" a="1"/>
  <c r="D893" i="1" s="1"/>
  <c r="K892" i="1"/>
  <c r="D892" i="1" a="1"/>
  <c r="D892" i="1" s="1"/>
  <c r="K891" i="1"/>
  <c r="D891" i="1" a="1"/>
  <c r="D891" i="1" s="1"/>
  <c r="K890" i="1"/>
  <c r="D890" i="1" a="1"/>
  <c r="D890" i="1" s="1"/>
  <c r="T889" i="1"/>
  <c r="P889" i="1"/>
  <c r="K889" i="1"/>
  <c r="D889" i="1" a="1"/>
  <c r="D889" i="1" s="1"/>
  <c r="T888" i="1"/>
  <c r="P888" i="1"/>
  <c r="K888" i="1"/>
  <c r="D888" i="1" a="1"/>
  <c r="D888" i="1" s="1"/>
  <c r="K887" i="1"/>
  <c r="D887" i="1" a="1"/>
  <c r="D887" i="1" s="1"/>
  <c r="R886" i="1"/>
  <c r="N886" i="1"/>
  <c r="K886" i="1"/>
  <c r="D886" i="1" a="1"/>
  <c r="D886" i="1" s="1"/>
  <c r="R885" i="1"/>
  <c r="N885" i="1"/>
  <c r="K885" i="1"/>
  <c r="D885" i="1" a="1"/>
  <c r="D885" i="1" s="1"/>
  <c r="R884" i="1"/>
  <c r="N884" i="1"/>
  <c r="K884" i="1"/>
  <c r="D884" i="1" a="1"/>
  <c r="D884" i="1" s="1"/>
  <c r="R883" i="1"/>
  <c r="N883" i="1"/>
  <c r="K883" i="1"/>
  <c r="D883" i="1" a="1"/>
  <c r="D883" i="1" s="1"/>
  <c r="R882" i="1"/>
  <c r="N882" i="1"/>
  <c r="K882" i="1"/>
  <c r="D882" i="1" a="1"/>
  <c r="D882" i="1" s="1"/>
  <c r="R881" i="1"/>
  <c r="N881" i="1"/>
  <c r="K881" i="1"/>
  <c r="D881" i="1" a="1"/>
  <c r="D881" i="1" s="1"/>
  <c r="R880" i="1"/>
  <c r="N880" i="1"/>
  <c r="K880" i="1"/>
  <c r="D880" i="1" a="1"/>
  <c r="D880" i="1" s="1"/>
  <c r="R879" i="1"/>
  <c r="N879" i="1"/>
  <c r="K879" i="1"/>
  <c r="D879" i="1" a="1"/>
  <c r="D879" i="1" s="1"/>
  <c r="R878" i="1"/>
  <c r="N878" i="1"/>
  <c r="K878" i="1"/>
  <c r="D878" i="1" a="1"/>
  <c r="D878" i="1" s="1"/>
  <c r="R877" i="1"/>
  <c r="N877" i="1"/>
  <c r="K877" i="1"/>
  <c r="D877" i="1" a="1"/>
  <c r="D877" i="1" s="1"/>
  <c r="N876" i="1"/>
  <c r="K876" i="1"/>
  <c r="D876" i="1" a="1"/>
  <c r="D876" i="1" s="1"/>
  <c r="N875" i="1"/>
  <c r="K875" i="1"/>
  <c r="D875" i="1" a="1"/>
  <c r="D875" i="1" s="1"/>
  <c r="R874" i="1"/>
  <c r="N874" i="1"/>
  <c r="K874" i="1"/>
  <c r="D874" i="1" a="1"/>
  <c r="D874" i="1" s="1"/>
  <c r="R873" i="1"/>
  <c r="N873" i="1"/>
  <c r="K873" i="1"/>
  <c r="D873" i="1" a="1"/>
  <c r="D873" i="1" s="1"/>
  <c r="R872" i="1"/>
  <c r="N872" i="1"/>
  <c r="K872" i="1"/>
  <c r="D872" i="1" a="1"/>
  <c r="D872" i="1" s="1"/>
  <c r="R871" i="1"/>
  <c r="N871" i="1"/>
  <c r="K871" i="1"/>
  <c r="D871" i="1" a="1"/>
  <c r="D871" i="1" s="1"/>
  <c r="N870" i="1"/>
  <c r="K870" i="1"/>
  <c r="D870" i="1" a="1"/>
  <c r="D870" i="1" s="1"/>
  <c r="R869" i="1"/>
  <c r="N869" i="1"/>
  <c r="K869" i="1"/>
  <c r="D869" i="1" a="1"/>
  <c r="D869" i="1" s="1"/>
  <c r="R868" i="1"/>
  <c r="N868" i="1"/>
  <c r="K868" i="1"/>
  <c r="D868" i="1" a="1"/>
  <c r="D868" i="1" s="1"/>
  <c r="R867" i="1"/>
  <c r="N867" i="1"/>
  <c r="K867" i="1"/>
  <c r="D867" i="1" a="1"/>
  <c r="D867" i="1" s="1"/>
  <c r="R866" i="1"/>
  <c r="N866" i="1"/>
  <c r="K866" i="1"/>
  <c r="D866" i="1" a="1"/>
  <c r="D866" i="1" s="1"/>
  <c r="R865" i="1"/>
  <c r="N865" i="1"/>
  <c r="K865" i="1"/>
  <c r="D865" i="1" a="1"/>
  <c r="D865" i="1" s="1"/>
  <c r="R864" i="1"/>
  <c r="N864" i="1"/>
  <c r="K864" i="1"/>
  <c r="D864" i="1" a="1"/>
  <c r="D864" i="1" s="1"/>
  <c r="R863" i="1"/>
  <c r="N863" i="1"/>
  <c r="K863" i="1"/>
  <c r="D863" i="1" a="1"/>
  <c r="D863" i="1" s="1"/>
  <c r="R862" i="1"/>
  <c r="N862" i="1"/>
  <c r="K862" i="1"/>
  <c r="D862" i="1" a="1"/>
  <c r="D862" i="1" s="1"/>
  <c r="R861" i="1"/>
  <c r="N861" i="1"/>
  <c r="K861" i="1"/>
  <c r="D861" i="1" a="1"/>
  <c r="D861" i="1" s="1"/>
  <c r="R860" i="1"/>
  <c r="N860" i="1"/>
  <c r="K860" i="1"/>
  <c r="D860" i="1" a="1"/>
  <c r="D860" i="1" s="1"/>
  <c r="R859" i="1"/>
  <c r="N859" i="1"/>
  <c r="K859" i="1"/>
  <c r="D859" i="1" a="1"/>
  <c r="D859" i="1" s="1"/>
  <c r="R858" i="1"/>
  <c r="N858" i="1"/>
  <c r="K858" i="1"/>
  <c r="D858" i="1" a="1"/>
  <c r="D858" i="1" s="1"/>
  <c r="R857" i="1"/>
  <c r="N857" i="1"/>
  <c r="K857" i="1"/>
  <c r="D857" i="1" a="1"/>
  <c r="D857" i="1" s="1"/>
  <c r="K856" i="1"/>
  <c r="D856" i="1" a="1"/>
  <c r="D856" i="1" s="1"/>
  <c r="R855" i="1"/>
  <c r="N855" i="1"/>
  <c r="K855" i="1"/>
  <c r="D855" i="1" a="1"/>
  <c r="D855" i="1" s="1"/>
  <c r="R854" i="1"/>
  <c r="N854" i="1"/>
  <c r="K854" i="1"/>
  <c r="D854" i="1" a="1"/>
  <c r="D854" i="1" s="1"/>
  <c r="R853" i="1"/>
  <c r="N853" i="1"/>
  <c r="K853" i="1"/>
  <c r="D853" i="1" a="1"/>
  <c r="D853" i="1" s="1"/>
  <c r="R852" i="1"/>
  <c r="N852" i="1"/>
  <c r="K852" i="1"/>
  <c r="D852" i="1" a="1"/>
  <c r="D852" i="1" s="1"/>
  <c r="R851" i="1"/>
  <c r="N851" i="1"/>
  <c r="K851" i="1"/>
  <c r="D851" i="1" a="1"/>
  <c r="D851" i="1" s="1"/>
  <c r="R850" i="1"/>
  <c r="N850" i="1"/>
  <c r="K850" i="1"/>
  <c r="D850" i="1" a="1"/>
  <c r="D850" i="1" s="1"/>
  <c r="R849" i="1"/>
  <c r="N849" i="1"/>
  <c r="K849" i="1"/>
  <c r="D849" i="1" a="1"/>
  <c r="D849" i="1" s="1"/>
  <c r="R848" i="1"/>
  <c r="N848" i="1"/>
  <c r="K848" i="1"/>
  <c r="D848" i="1" a="1"/>
  <c r="D848" i="1" s="1"/>
  <c r="R847" i="1"/>
  <c r="N847" i="1"/>
  <c r="K847" i="1"/>
  <c r="D847" i="1" a="1"/>
  <c r="D847" i="1" s="1"/>
  <c r="N846" i="1"/>
  <c r="K846" i="1"/>
  <c r="D846" i="1" a="1"/>
  <c r="D846" i="1" s="1"/>
  <c r="K845" i="1"/>
  <c r="D845" i="1" a="1"/>
  <c r="D845" i="1" s="1"/>
  <c r="R844" i="1"/>
  <c r="K844" i="1"/>
  <c r="D844" i="1" a="1"/>
  <c r="D844" i="1" s="1"/>
  <c r="N843" i="1"/>
  <c r="K843" i="1"/>
  <c r="D843" i="1" a="1"/>
  <c r="D843" i="1" s="1"/>
  <c r="K842" i="1"/>
  <c r="D842" i="1" a="1"/>
  <c r="D842" i="1" s="1"/>
  <c r="K841" i="1"/>
  <c r="D841" i="1" a="1"/>
  <c r="D841" i="1" s="1"/>
  <c r="K840" i="1"/>
  <c r="D840" i="1" a="1"/>
  <c r="D840" i="1" s="1"/>
  <c r="K839" i="1"/>
  <c r="D839" i="1" a="1"/>
  <c r="D839" i="1" s="1"/>
  <c r="K838" i="1"/>
  <c r="D838" i="1" a="1"/>
  <c r="D838" i="1" s="1"/>
  <c r="N837" i="1"/>
  <c r="K837" i="1"/>
  <c r="D837" i="1" a="1"/>
  <c r="D837" i="1" s="1"/>
  <c r="R836" i="1"/>
  <c r="N836" i="1"/>
  <c r="K836" i="1"/>
  <c r="D836" i="1" a="1"/>
  <c r="D836" i="1" s="1"/>
  <c r="R835" i="1"/>
  <c r="K835" i="1"/>
  <c r="D835" i="1" a="1"/>
  <c r="D835" i="1" s="1"/>
  <c r="R834" i="1"/>
  <c r="N834" i="1"/>
  <c r="K834" i="1"/>
  <c r="D834" i="1" a="1"/>
  <c r="D834" i="1" s="1"/>
  <c r="T833" i="1"/>
  <c r="K833" i="1"/>
  <c r="D833" i="1" a="1"/>
  <c r="D833" i="1" s="1"/>
  <c r="K832" i="1"/>
  <c r="D832" i="1" a="1"/>
  <c r="D832" i="1" s="1"/>
  <c r="K831" i="1"/>
  <c r="D831" i="1" a="1"/>
  <c r="D831" i="1" s="1"/>
  <c r="N830" i="1"/>
  <c r="K830" i="1"/>
  <c r="D830" i="1" a="1"/>
  <c r="D830" i="1" s="1"/>
  <c r="K829" i="1"/>
  <c r="D829" i="1" a="1"/>
  <c r="D829" i="1" s="1"/>
  <c r="N828" i="1"/>
  <c r="K828" i="1"/>
  <c r="D828" i="1" a="1"/>
  <c r="D828" i="1" s="1"/>
  <c r="K827" i="1"/>
  <c r="D827" i="1" a="1"/>
  <c r="D827" i="1" s="1"/>
  <c r="R826" i="1"/>
  <c r="N826" i="1"/>
  <c r="K826" i="1"/>
  <c r="D826" i="1" a="1"/>
  <c r="D826" i="1" s="1"/>
  <c r="N825" i="1"/>
  <c r="K825" i="1"/>
  <c r="D825" i="1" a="1"/>
  <c r="D825" i="1" s="1"/>
  <c r="R824" i="1"/>
  <c r="N824" i="1"/>
  <c r="K824" i="1"/>
  <c r="D824" i="1" a="1"/>
  <c r="D824" i="1" s="1"/>
  <c r="N823" i="1"/>
  <c r="K823" i="1"/>
  <c r="D823" i="1" a="1"/>
  <c r="D823" i="1" s="1"/>
  <c r="N822" i="1"/>
  <c r="K822" i="1"/>
  <c r="D822" i="1" a="1"/>
  <c r="D822" i="1" s="1"/>
  <c r="N821" i="1"/>
  <c r="K821" i="1"/>
  <c r="D821" i="1" a="1"/>
  <c r="D821" i="1" s="1"/>
  <c r="R820" i="1"/>
  <c r="N820" i="1"/>
  <c r="K820" i="1"/>
  <c r="D820" i="1" a="1"/>
  <c r="D820" i="1" s="1"/>
  <c r="R819" i="1"/>
  <c r="N819" i="1"/>
  <c r="K819" i="1"/>
  <c r="D819" i="1" a="1"/>
  <c r="D819" i="1" s="1"/>
  <c r="R818" i="1"/>
  <c r="N818" i="1"/>
  <c r="K818" i="1"/>
  <c r="D818" i="1" a="1"/>
  <c r="D818" i="1" s="1"/>
  <c r="R817" i="1"/>
  <c r="K817" i="1"/>
  <c r="D817" i="1" a="1"/>
  <c r="D817" i="1" s="1"/>
  <c r="R816" i="1"/>
  <c r="N816" i="1"/>
  <c r="K816" i="1"/>
  <c r="D816" i="1" a="1"/>
  <c r="D816" i="1" s="1"/>
  <c r="R815" i="1"/>
  <c r="N815" i="1"/>
  <c r="K815" i="1"/>
  <c r="D815" i="1" a="1"/>
  <c r="D815" i="1" s="1"/>
  <c r="K814" i="1"/>
  <c r="D814" i="1" a="1"/>
  <c r="D814" i="1" s="1"/>
  <c r="K813" i="1"/>
  <c r="D813" i="1" a="1"/>
  <c r="D813" i="1" s="1"/>
  <c r="K812" i="1"/>
  <c r="D812" i="1" a="1"/>
  <c r="D812" i="1" s="1"/>
  <c r="K811" i="1"/>
  <c r="D811" i="1" a="1"/>
  <c r="D811" i="1" s="1"/>
  <c r="K810" i="1"/>
  <c r="D810" i="1" a="1"/>
  <c r="D810" i="1" s="1"/>
  <c r="K809" i="1"/>
  <c r="D809" i="1" a="1"/>
  <c r="D809" i="1" s="1"/>
  <c r="R808" i="1"/>
  <c r="N808" i="1"/>
  <c r="K808" i="1"/>
  <c r="D808" i="1" a="1"/>
  <c r="D808" i="1" s="1"/>
  <c r="R807" i="1"/>
  <c r="N807" i="1"/>
  <c r="K807" i="1"/>
  <c r="D807" i="1" a="1"/>
  <c r="D807" i="1" s="1"/>
  <c r="R806" i="1"/>
  <c r="N806" i="1"/>
  <c r="K806" i="1"/>
  <c r="D806" i="1" a="1"/>
  <c r="D806" i="1" s="1"/>
  <c r="R805" i="1"/>
  <c r="N805" i="1"/>
  <c r="K805" i="1"/>
  <c r="D805" i="1" a="1"/>
  <c r="D805" i="1" s="1"/>
  <c r="R804" i="1"/>
  <c r="N804" i="1"/>
  <c r="K804" i="1"/>
  <c r="D804" i="1" a="1"/>
  <c r="D804" i="1" s="1"/>
  <c r="R803" i="1"/>
  <c r="N803" i="1"/>
  <c r="K803" i="1"/>
  <c r="D803" i="1" a="1"/>
  <c r="D803" i="1" s="1"/>
  <c r="R802" i="1"/>
  <c r="N802" i="1"/>
  <c r="K802" i="1"/>
  <c r="D802" i="1" a="1"/>
  <c r="D802" i="1" s="1"/>
  <c r="R801" i="1"/>
  <c r="N801" i="1"/>
  <c r="K801" i="1"/>
  <c r="D801" i="1" a="1"/>
  <c r="D801" i="1" s="1"/>
  <c r="R800" i="1"/>
  <c r="N800" i="1"/>
  <c r="K800" i="1"/>
  <c r="D800" i="1" a="1"/>
  <c r="D800" i="1" s="1"/>
  <c r="R799" i="1"/>
  <c r="N799" i="1"/>
  <c r="K799" i="1"/>
  <c r="D799" i="1" a="1"/>
  <c r="D799" i="1" s="1"/>
  <c r="R798" i="1"/>
  <c r="N798" i="1"/>
  <c r="K798" i="1"/>
  <c r="D798" i="1" a="1"/>
  <c r="D798" i="1" s="1"/>
  <c r="R797" i="1"/>
  <c r="N797" i="1"/>
  <c r="K797" i="1"/>
  <c r="D797" i="1" a="1"/>
  <c r="D797" i="1" s="1"/>
  <c r="R796" i="1"/>
  <c r="N796" i="1"/>
  <c r="K796" i="1"/>
  <c r="D796" i="1" a="1"/>
  <c r="D796" i="1" s="1"/>
  <c r="R795" i="1"/>
  <c r="N795" i="1"/>
  <c r="K795" i="1"/>
  <c r="D795" i="1" a="1"/>
  <c r="D795" i="1" s="1"/>
  <c r="R794" i="1"/>
  <c r="N794" i="1"/>
  <c r="K794" i="1"/>
  <c r="D794" i="1" a="1"/>
  <c r="D794" i="1" s="1"/>
  <c r="R793" i="1"/>
  <c r="N793" i="1"/>
  <c r="K793" i="1"/>
  <c r="D793" i="1" a="1"/>
  <c r="D793" i="1" s="1"/>
  <c r="N792" i="1"/>
  <c r="K792" i="1"/>
  <c r="D792" i="1" a="1"/>
  <c r="D792" i="1" s="1"/>
  <c r="N791" i="1"/>
  <c r="K791" i="1"/>
  <c r="D791" i="1" a="1"/>
  <c r="D791" i="1" s="1"/>
  <c r="N790" i="1"/>
  <c r="K790" i="1"/>
  <c r="D790" i="1" a="1"/>
  <c r="D790" i="1" s="1"/>
  <c r="N789" i="1"/>
  <c r="K789" i="1"/>
  <c r="D789" i="1" a="1"/>
  <c r="D789" i="1" s="1"/>
  <c r="R788" i="1"/>
  <c r="N788" i="1"/>
  <c r="K788" i="1"/>
  <c r="D788" i="1" a="1"/>
  <c r="D788" i="1" s="1"/>
  <c r="N787" i="1"/>
  <c r="K787" i="1"/>
  <c r="D787" i="1" a="1"/>
  <c r="D787" i="1" s="1"/>
  <c r="R786" i="1"/>
  <c r="N786" i="1"/>
  <c r="K786" i="1"/>
  <c r="D786" i="1" a="1"/>
  <c r="D786" i="1" s="1"/>
  <c r="R785" i="1"/>
  <c r="N785" i="1"/>
  <c r="K785" i="1"/>
  <c r="D785" i="1" a="1"/>
  <c r="D785" i="1" s="1"/>
  <c r="R784" i="1"/>
  <c r="N784" i="1"/>
  <c r="K784" i="1"/>
  <c r="D784" i="1" a="1"/>
  <c r="D784" i="1" s="1"/>
  <c r="K783" i="1"/>
  <c r="D783" i="1" a="1"/>
  <c r="D783" i="1" s="1"/>
  <c r="R782" i="1"/>
  <c r="N782" i="1"/>
  <c r="K782" i="1"/>
  <c r="D782" i="1" a="1"/>
  <c r="D782" i="1" s="1"/>
  <c r="R781" i="1"/>
  <c r="N781" i="1"/>
  <c r="K781" i="1"/>
  <c r="D781" i="1" a="1"/>
  <c r="D781" i="1" s="1"/>
  <c r="N780" i="1"/>
  <c r="K780" i="1"/>
  <c r="D780" i="1" a="1"/>
  <c r="D780" i="1" s="1"/>
  <c r="N779" i="1"/>
  <c r="K779" i="1"/>
  <c r="D779" i="1" a="1"/>
  <c r="D779" i="1" s="1"/>
  <c r="K778" i="1"/>
  <c r="D778" i="1" a="1"/>
  <c r="D778" i="1" s="1"/>
  <c r="N777" i="1"/>
  <c r="K777" i="1"/>
  <c r="D777" i="1" a="1"/>
  <c r="D777" i="1" s="1"/>
  <c r="R776" i="1"/>
  <c r="N776" i="1"/>
  <c r="K776" i="1"/>
  <c r="D776" i="1" a="1"/>
  <c r="D776" i="1" s="1"/>
  <c r="R775" i="1"/>
  <c r="N775" i="1"/>
  <c r="K775" i="1"/>
  <c r="D775" i="1" a="1"/>
  <c r="D775" i="1" s="1"/>
  <c r="R774" i="1"/>
  <c r="N774" i="1"/>
  <c r="K774" i="1"/>
  <c r="D774" i="1" a="1"/>
  <c r="D774" i="1" s="1"/>
  <c r="N773" i="1"/>
  <c r="K773" i="1"/>
  <c r="D773" i="1" a="1"/>
  <c r="D773" i="1" s="1"/>
  <c r="L772" i="1"/>
  <c r="K772" i="1"/>
  <c r="D772" i="1" a="1"/>
  <c r="D772" i="1" s="1"/>
  <c r="K771" i="1"/>
  <c r="D771" i="1" a="1"/>
  <c r="D771" i="1" s="1"/>
  <c r="K770" i="1"/>
  <c r="D770" i="1" a="1"/>
  <c r="D770" i="1" s="1"/>
  <c r="N769" i="1"/>
  <c r="K769" i="1"/>
  <c r="D769" i="1" a="1"/>
  <c r="D769" i="1" s="1"/>
  <c r="N768" i="1"/>
  <c r="L768" i="1"/>
  <c r="K768" i="1"/>
  <c r="D768" i="1" a="1"/>
  <c r="D768" i="1" s="1"/>
  <c r="R767" i="1"/>
  <c r="N767" i="1"/>
  <c r="L767" i="1"/>
  <c r="K767" i="1"/>
  <c r="D767" i="1" a="1"/>
  <c r="D767" i="1" s="1"/>
  <c r="R766" i="1"/>
  <c r="N766" i="1"/>
  <c r="L766" i="1"/>
  <c r="K766" i="1"/>
  <c r="D766" i="1" a="1"/>
  <c r="D766" i="1" s="1"/>
  <c r="R765" i="1"/>
  <c r="N765" i="1"/>
  <c r="L765" i="1"/>
  <c r="K765" i="1"/>
  <c r="D765" i="1" a="1"/>
  <c r="D765" i="1" s="1"/>
  <c r="R764" i="1"/>
  <c r="N764" i="1"/>
  <c r="L764" i="1"/>
  <c r="K764" i="1"/>
  <c r="D764" i="1" a="1"/>
  <c r="D764" i="1" s="1"/>
  <c r="R763" i="1"/>
  <c r="N763" i="1"/>
  <c r="K763" i="1"/>
  <c r="D763" i="1" a="1"/>
  <c r="D763" i="1" s="1"/>
  <c r="R762" i="1"/>
  <c r="N762" i="1"/>
  <c r="K762" i="1"/>
  <c r="D762" i="1" a="1"/>
  <c r="D762" i="1" s="1"/>
  <c r="K761" i="1"/>
  <c r="D761" i="1" a="1"/>
  <c r="D761" i="1" s="1"/>
  <c r="K760" i="1"/>
  <c r="D760" i="1" a="1"/>
  <c r="D760" i="1" s="1"/>
  <c r="R759" i="1"/>
  <c r="K759" i="1"/>
  <c r="D759" i="1" a="1"/>
  <c r="D759" i="1" s="1"/>
  <c r="R758" i="1"/>
  <c r="N758" i="1"/>
  <c r="K758" i="1"/>
  <c r="D758" i="1" a="1"/>
  <c r="D758" i="1" s="1"/>
  <c r="R757" i="1"/>
  <c r="N757" i="1"/>
  <c r="K757" i="1"/>
  <c r="D757" i="1" a="1"/>
  <c r="D757" i="1" s="1"/>
  <c r="K756" i="1"/>
  <c r="D756" i="1" a="1"/>
  <c r="D756" i="1" s="1"/>
  <c r="K755" i="1"/>
  <c r="D755" i="1" a="1"/>
  <c r="D755" i="1" s="1"/>
  <c r="K754" i="1"/>
  <c r="D754" i="1" a="1"/>
  <c r="D754" i="1" s="1"/>
  <c r="R753" i="1"/>
  <c r="N753" i="1"/>
  <c r="K753" i="1"/>
  <c r="D753" i="1" a="1"/>
  <c r="D753" i="1" s="1"/>
  <c r="R752" i="1"/>
  <c r="N752" i="1"/>
  <c r="K752" i="1"/>
  <c r="D752" i="1" a="1"/>
  <c r="D752" i="1" s="1"/>
  <c r="R751" i="1"/>
  <c r="N751" i="1"/>
  <c r="K751" i="1"/>
  <c r="D751" i="1" a="1"/>
  <c r="D751" i="1" s="1"/>
  <c r="K750" i="1"/>
  <c r="D750" i="1" a="1"/>
  <c r="D750" i="1" s="1"/>
  <c r="K749" i="1"/>
  <c r="D749" i="1" a="1"/>
  <c r="D749" i="1" s="1"/>
  <c r="N748" i="1"/>
  <c r="K748" i="1"/>
  <c r="D748" i="1" a="1"/>
  <c r="D748" i="1" s="1"/>
  <c r="K747" i="1"/>
  <c r="D747" i="1" a="1"/>
  <c r="D747" i="1" s="1"/>
  <c r="N746" i="1"/>
  <c r="K746" i="1"/>
  <c r="D746" i="1" a="1"/>
  <c r="D746" i="1" s="1"/>
  <c r="N745" i="1"/>
  <c r="K745" i="1"/>
  <c r="D745" i="1" a="1"/>
  <c r="D745" i="1" s="1"/>
  <c r="R744" i="1"/>
  <c r="N744" i="1"/>
  <c r="K744" i="1"/>
  <c r="D744" i="1" a="1"/>
  <c r="D744" i="1" s="1"/>
  <c r="R743" i="1"/>
  <c r="N743" i="1"/>
  <c r="K743" i="1"/>
  <c r="D743" i="1" a="1"/>
  <c r="D743" i="1" s="1"/>
  <c r="N742" i="1"/>
  <c r="K742" i="1"/>
  <c r="D742" i="1" a="1"/>
  <c r="D742" i="1" s="1"/>
  <c r="R741" i="1"/>
  <c r="N741" i="1"/>
  <c r="K741" i="1"/>
  <c r="D741" i="1" a="1"/>
  <c r="D741" i="1" s="1"/>
  <c r="N740" i="1"/>
  <c r="K740" i="1"/>
  <c r="D740" i="1" a="1"/>
  <c r="D740" i="1" s="1"/>
  <c r="R739" i="1"/>
  <c r="N739" i="1"/>
  <c r="K739" i="1"/>
  <c r="D739" i="1" a="1"/>
  <c r="D739" i="1" s="1"/>
  <c r="R738" i="1"/>
  <c r="N738" i="1"/>
  <c r="K738" i="1"/>
  <c r="D738" i="1" a="1"/>
  <c r="D738" i="1" s="1"/>
  <c r="N737" i="1"/>
  <c r="K737" i="1"/>
  <c r="D737" i="1" a="1"/>
  <c r="D737" i="1" s="1"/>
  <c r="R736" i="1"/>
  <c r="N736" i="1"/>
  <c r="K736" i="1"/>
  <c r="D736" i="1" a="1"/>
  <c r="D736" i="1" s="1"/>
  <c r="R735" i="1"/>
  <c r="N735" i="1"/>
  <c r="K735" i="1"/>
  <c r="D735" i="1" a="1"/>
  <c r="D735" i="1" s="1"/>
  <c r="R734" i="1"/>
  <c r="N734" i="1"/>
  <c r="K734" i="1"/>
  <c r="D734" i="1" a="1"/>
  <c r="D734" i="1" s="1"/>
  <c r="R733" i="1"/>
  <c r="N733" i="1"/>
  <c r="K733" i="1"/>
  <c r="D733" i="1" a="1"/>
  <c r="D733" i="1" s="1"/>
  <c r="R732" i="1"/>
  <c r="K732" i="1"/>
  <c r="D732" i="1" a="1"/>
  <c r="D732" i="1" s="1"/>
  <c r="R731" i="1"/>
  <c r="K731" i="1"/>
  <c r="D731" i="1" a="1"/>
  <c r="D731" i="1" s="1"/>
  <c r="R730" i="1"/>
  <c r="K730" i="1"/>
  <c r="D730" i="1" a="1"/>
  <c r="D730" i="1" s="1"/>
  <c r="R729" i="1"/>
  <c r="K729" i="1"/>
  <c r="D729" i="1" a="1"/>
  <c r="D729" i="1" s="1"/>
  <c r="R728" i="1"/>
  <c r="N728" i="1"/>
  <c r="K728" i="1"/>
  <c r="D728" i="1" a="1"/>
  <c r="D728" i="1" s="1"/>
  <c r="R727" i="1"/>
  <c r="N727" i="1"/>
  <c r="K727" i="1"/>
  <c r="D727" i="1" a="1"/>
  <c r="D727" i="1" s="1"/>
  <c r="R726" i="1"/>
  <c r="N726" i="1"/>
  <c r="K726" i="1"/>
  <c r="D726" i="1" a="1"/>
  <c r="D726" i="1" s="1"/>
  <c r="R725" i="1"/>
  <c r="N725" i="1"/>
  <c r="K725" i="1"/>
  <c r="D725" i="1" a="1"/>
  <c r="D725" i="1" s="1"/>
  <c r="R724" i="1"/>
  <c r="N724" i="1"/>
  <c r="K724" i="1"/>
  <c r="D724" i="1" a="1"/>
  <c r="D724" i="1" s="1"/>
  <c r="R723" i="1"/>
  <c r="N723" i="1"/>
  <c r="K723" i="1"/>
  <c r="D723" i="1" a="1"/>
  <c r="D723" i="1" s="1"/>
  <c r="N722" i="1"/>
  <c r="K722" i="1"/>
  <c r="D722" i="1" a="1"/>
  <c r="D722" i="1" s="1"/>
  <c r="N721" i="1"/>
  <c r="K721" i="1"/>
  <c r="D721" i="1" a="1"/>
  <c r="D721" i="1" s="1"/>
  <c r="R720" i="1"/>
  <c r="N720" i="1"/>
  <c r="K720" i="1"/>
  <c r="D720" i="1" a="1"/>
  <c r="D720" i="1" s="1"/>
  <c r="N719" i="1"/>
  <c r="K719" i="1"/>
  <c r="D719" i="1" a="1"/>
  <c r="D719" i="1" s="1"/>
  <c r="R718" i="1"/>
  <c r="N718" i="1"/>
  <c r="K718" i="1"/>
  <c r="D718" i="1" a="1"/>
  <c r="D718" i="1" s="1"/>
  <c r="R717" i="1"/>
  <c r="N717" i="1"/>
  <c r="K717" i="1"/>
  <c r="D717" i="1" a="1"/>
  <c r="D717" i="1" s="1"/>
  <c r="N716" i="1"/>
  <c r="K716" i="1"/>
  <c r="D716" i="1" a="1"/>
  <c r="D716" i="1" s="1"/>
  <c r="N715" i="1"/>
  <c r="K715" i="1"/>
  <c r="D715" i="1" a="1"/>
  <c r="D715" i="1" s="1"/>
  <c r="N714" i="1"/>
  <c r="K714" i="1"/>
  <c r="D714" i="1" a="1"/>
  <c r="D714" i="1" s="1"/>
  <c r="N713" i="1"/>
  <c r="K713" i="1"/>
  <c r="D713" i="1" a="1"/>
  <c r="D713" i="1" s="1"/>
  <c r="R712" i="1"/>
  <c r="N712" i="1"/>
  <c r="K712" i="1"/>
  <c r="D712" i="1" a="1"/>
  <c r="D712" i="1" s="1"/>
  <c r="R711" i="1"/>
  <c r="N711" i="1"/>
  <c r="K711" i="1"/>
  <c r="D711" i="1" a="1"/>
  <c r="D711" i="1" s="1"/>
  <c r="N710" i="1"/>
  <c r="K710" i="1"/>
  <c r="D710" i="1" a="1"/>
  <c r="D710" i="1" s="1"/>
  <c r="N709" i="1"/>
  <c r="K709" i="1"/>
  <c r="D709" i="1" a="1"/>
  <c r="D709" i="1" s="1"/>
  <c r="R708" i="1"/>
  <c r="N708" i="1"/>
  <c r="K708" i="1"/>
  <c r="D708" i="1" a="1"/>
  <c r="D708" i="1" s="1"/>
  <c r="R707" i="1"/>
  <c r="N707" i="1"/>
  <c r="K707" i="1"/>
  <c r="D707" i="1" a="1"/>
  <c r="D707" i="1" s="1"/>
  <c r="K706" i="1"/>
  <c r="D706" i="1" a="1"/>
  <c r="D706" i="1" s="1"/>
  <c r="K705" i="1"/>
  <c r="D705" i="1" a="1"/>
  <c r="D705" i="1" s="1"/>
  <c r="N704" i="1"/>
  <c r="K704" i="1"/>
  <c r="D704" i="1" a="1"/>
  <c r="D704" i="1" s="1"/>
  <c r="K703" i="1"/>
  <c r="D703" i="1" a="1"/>
  <c r="D703" i="1" s="1"/>
  <c r="K702" i="1"/>
  <c r="D702" i="1" a="1"/>
  <c r="D702" i="1" s="1"/>
  <c r="K701" i="1"/>
  <c r="D701" i="1" a="1"/>
  <c r="D701" i="1" s="1"/>
  <c r="K700" i="1"/>
  <c r="D700" i="1" a="1"/>
  <c r="D700" i="1" s="1"/>
  <c r="K699" i="1"/>
  <c r="D699" i="1" a="1"/>
  <c r="D699" i="1" s="1"/>
  <c r="N698" i="1"/>
  <c r="K698" i="1"/>
  <c r="D698" i="1" a="1"/>
  <c r="D698" i="1" s="1"/>
  <c r="N697" i="1"/>
  <c r="K697" i="1"/>
  <c r="D697" i="1" a="1"/>
  <c r="D697" i="1" s="1"/>
  <c r="K696" i="1"/>
  <c r="D696" i="1" a="1"/>
  <c r="D696" i="1" s="1"/>
  <c r="N695" i="1"/>
  <c r="K695" i="1"/>
  <c r="D695" i="1" a="1"/>
  <c r="D695" i="1" s="1"/>
  <c r="K694" i="1"/>
  <c r="D694" i="1" a="1"/>
  <c r="D694" i="1" s="1"/>
  <c r="N693" i="1"/>
  <c r="K693" i="1"/>
  <c r="D693" i="1" a="1"/>
  <c r="D693" i="1" s="1"/>
  <c r="K692" i="1"/>
  <c r="D692" i="1" a="1"/>
  <c r="D692" i="1" s="1"/>
  <c r="K691" i="1"/>
  <c r="D691" i="1" a="1"/>
  <c r="D691" i="1" s="1"/>
  <c r="K690" i="1"/>
  <c r="D690" i="1" a="1"/>
  <c r="D690" i="1" s="1"/>
  <c r="K689" i="1"/>
  <c r="D689" i="1" a="1"/>
  <c r="D689" i="1" s="1"/>
  <c r="K688" i="1"/>
  <c r="D688" i="1" a="1"/>
  <c r="D688" i="1" s="1"/>
  <c r="K687" i="1"/>
  <c r="D687" i="1" a="1"/>
  <c r="D687" i="1" s="1"/>
  <c r="K686" i="1"/>
  <c r="D686" i="1" a="1"/>
  <c r="D686" i="1" s="1"/>
  <c r="K685" i="1"/>
  <c r="D685" i="1" a="1"/>
  <c r="D685" i="1" s="1"/>
  <c r="K684" i="1"/>
  <c r="D684" i="1" a="1"/>
  <c r="D684" i="1" s="1"/>
  <c r="K683" i="1"/>
  <c r="D683" i="1" a="1"/>
  <c r="D683" i="1" s="1"/>
  <c r="N682" i="1"/>
  <c r="K682" i="1"/>
  <c r="D682" i="1" a="1"/>
  <c r="D682" i="1" s="1"/>
  <c r="K681" i="1"/>
  <c r="D681" i="1" a="1"/>
  <c r="D681" i="1" s="1"/>
  <c r="K680" i="1"/>
  <c r="D680" i="1" a="1"/>
  <c r="D680" i="1" s="1"/>
  <c r="K679" i="1"/>
  <c r="D679" i="1" a="1"/>
  <c r="D679" i="1" s="1"/>
  <c r="K678" i="1"/>
  <c r="D678" i="1" a="1"/>
  <c r="D678" i="1" s="1"/>
  <c r="K677" i="1"/>
  <c r="D677" i="1" a="1"/>
  <c r="D677" i="1" s="1"/>
  <c r="N676" i="1"/>
  <c r="K676" i="1"/>
  <c r="D676" i="1" a="1"/>
  <c r="D676" i="1" s="1"/>
  <c r="R675" i="1"/>
  <c r="N675" i="1"/>
  <c r="K675" i="1"/>
  <c r="D675" i="1" a="1"/>
  <c r="D675" i="1" s="1"/>
  <c r="N674" i="1"/>
  <c r="K674" i="1"/>
  <c r="D674" i="1" a="1"/>
  <c r="D674" i="1" s="1"/>
  <c r="R673" i="1"/>
  <c r="N673" i="1"/>
  <c r="K673" i="1"/>
  <c r="D673" i="1" a="1"/>
  <c r="D673" i="1" s="1"/>
  <c r="R672" i="1"/>
  <c r="N672" i="1"/>
  <c r="K672" i="1"/>
  <c r="D672" i="1" a="1"/>
  <c r="D672" i="1" s="1"/>
  <c r="N671" i="1"/>
  <c r="K671" i="1"/>
  <c r="D671" i="1" a="1"/>
  <c r="D671" i="1" s="1"/>
  <c r="R670" i="1"/>
  <c r="N670" i="1"/>
  <c r="K670" i="1"/>
  <c r="D670" i="1" a="1"/>
  <c r="D670" i="1" s="1"/>
  <c r="R669" i="1"/>
  <c r="N669" i="1"/>
  <c r="K669" i="1"/>
  <c r="D669" i="1" a="1"/>
  <c r="D669" i="1" s="1"/>
  <c r="R668" i="1"/>
  <c r="N668" i="1"/>
  <c r="K668" i="1"/>
  <c r="D668" i="1" a="1"/>
  <c r="D668" i="1" s="1"/>
  <c r="K667" i="1"/>
  <c r="D667" i="1" a="1"/>
  <c r="D667" i="1" s="1"/>
  <c r="R666" i="1"/>
  <c r="N666" i="1"/>
  <c r="K666" i="1"/>
  <c r="D666" i="1" a="1"/>
  <c r="D666" i="1" s="1"/>
  <c r="R665" i="1"/>
  <c r="N665" i="1"/>
  <c r="K665" i="1"/>
  <c r="D665" i="1" a="1"/>
  <c r="D665" i="1" s="1"/>
  <c r="R664" i="1"/>
  <c r="N664" i="1"/>
  <c r="K664" i="1"/>
  <c r="D664" i="1" a="1"/>
  <c r="D664" i="1" s="1"/>
  <c r="N663" i="1"/>
  <c r="K663" i="1"/>
  <c r="D663" i="1" a="1"/>
  <c r="D663" i="1" s="1"/>
  <c r="R662" i="1"/>
  <c r="N662" i="1"/>
  <c r="K662" i="1"/>
  <c r="D662" i="1" a="1"/>
  <c r="D662" i="1" s="1"/>
  <c r="R661" i="1"/>
  <c r="N661" i="1"/>
  <c r="K661" i="1"/>
  <c r="D661" i="1" a="1"/>
  <c r="D661" i="1" s="1"/>
  <c r="R660" i="1"/>
  <c r="N660" i="1"/>
  <c r="K660" i="1"/>
  <c r="D660" i="1" a="1"/>
  <c r="D660" i="1" s="1"/>
  <c r="R659" i="1"/>
  <c r="N659" i="1"/>
  <c r="K659" i="1"/>
  <c r="D659" i="1" a="1"/>
  <c r="D659" i="1" s="1"/>
  <c r="R658" i="1"/>
  <c r="N658" i="1"/>
  <c r="K658" i="1"/>
  <c r="D658" i="1" a="1"/>
  <c r="D658" i="1" s="1"/>
  <c r="R657" i="1"/>
  <c r="N657" i="1"/>
  <c r="K657" i="1"/>
  <c r="D657" i="1" a="1"/>
  <c r="D657" i="1" s="1"/>
  <c r="N656" i="1"/>
  <c r="K656" i="1"/>
  <c r="D656" i="1" a="1"/>
  <c r="D656" i="1" s="1"/>
  <c r="R655" i="1"/>
  <c r="N655" i="1"/>
  <c r="K655" i="1"/>
  <c r="D655" i="1" a="1"/>
  <c r="D655" i="1" s="1"/>
  <c r="R654" i="1"/>
  <c r="N654" i="1"/>
  <c r="K654" i="1"/>
  <c r="D654" i="1" a="1"/>
  <c r="D654" i="1" s="1"/>
  <c r="R653" i="1"/>
  <c r="N653" i="1"/>
  <c r="K653" i="1"/>
  <c r="D653" i="1" a="1"/>
  <c r="D653" i="1" s="1"/>
  <c r="R652" i="1"/>
  <c r="N652" i="1"/>
  <c r="K652" i="1"/>
  <c r="D652" i="1" a="1"/>
  <c r="D652" i="1" s="1"/>
  <c r="R651" i="1"/>
  <c r="N651" i="1"/>
  <c r="K651" i="1"/>
  <c r="D651" i="1" a="1"/>
  <c r="D651" i="1" s="1"/>
  <c r="R650" i="1"/>
  <c r="N650" i="1"/>
  <c r="K650" i="1"/>
  <c r="D650" i="1" a="1"/>
  <c r="D650" i="1" s="1"/>
  <c r="R649" i="1"/>
  <c r="N649" i="1"/>
  <c r="K649" i="1"/>
  <c r="D649" i="1" a="1"/>
  <c r="D649" i="1" s="1"/>
  <c r="R648" i="1"/>
  <c r="N648" i="1"/>
  <c r="K648" i="1"/>
  <c r="D648" i="1" a="1"/>
  <c r="D648" i="1" s="1"/>
  <c r="R647" i="1"/>
  <c r="N647" i="1"/>
  <c r="K647" i="1"/>
  <c r="D647" i="1" a="1"/>
  <c r="D647" i="1" s="1"/>
  <c r="R646" i="1"/>
  <c r="N646" i="1"/>
  <c r="K646" i="1"/>
  <c r="D646" i="1" a="1"/>
  <c r="D646" i="1" s="1"/>
  <c r="R645" i="1"/>
  <c r="N645" i="1"/>
  <c r="K645" i="1"/>
  <c r="D645" i="1" a="1"/>
  <c r="D645" i="1" s="1"/>
  <c r="R644" i="1"/>
  <c r="N644" i="1"/>
  <c r="K644" i="1"/>
  <c r="D644" i="1" a="1"/>
  <c r="D644" i="1" s="1"/>
  <c r="R643" i="1"/>
  <c r="N643" i="1"/>
  <c r="K643" i="1"/>
  <c r="D643" i="1" a="1"/>
  <c r="D643" i="1" s="1"/>
  <c r="R642" i="1"/>
  <c r="N642" i="1"/>
  <c r="K642" i="1"/>
  <c r="D642" i="1" a="1"/>
  <c r="D642" i="1" s="1"/>
  <c r="N641" i="1"/>
  <c r="K641" i="1"/>
  <c r="D641" i="1" a="1"/>
  <c r="D641" i="1" s="1"/>
  <c r="N640" i="1"/>
  <c r="K640" i="1"/>
  <c r="D640" i="1" a="1"/>
  <c r="D640" i="1" s="1"/>
  <c r="N639" i="1"/>
  <c r="K639" i="1"/>
  <c r="D639" i="1" a="1"/>
  <c r="D639" i="1" s="1"/>
  <c r="R638" i="1"/>
  <c r="N638" i="1"/>
  <c r="K638" i="1"/>
  <c r="D638" i="1" a="1"/>
  <c r="D638" i="1" s="1"/>
  <c r="R637" i="1"/>
  <c r="N637" i="1"/>
  <c r="K637" i="1"/>
  <c r="D637" i="1" a="1"/>
  <c r="D637" i="1" s="1"/>
  <c r="R636" i="1"/>
  <c r="N636" i="1"/>
  <c r="K636" i="1"/>
  <c r="D636" i="1" a="1"/>
  <c r="D636" i="1" s="1"/>
  <c r="N635" i="1"/>
  <c r="K635" i="1"/>
  <c r="D635" i="1" a="1"/>
  <c r="D635" i="1" s="1"/>
  <c r="R634" i="1"/>
  <c r="K634" i="1"/>
  <c r="D634" i="1" a="1"/>
  <c r="D634" i="1" s="1"/>
  <c r="R633" i="1"/>
  <c r="N633" i="1"/>
  <c r="K633" i="1"/>
  <c r="D633" i="1" a="1"/>
  <c r="D633" i="1" s="1"/>
  <c r="R632" i="1"/>
  <c r="N632" i="1"/>
  <c r="K632" i="1"/>
  <c r="D632" i="1" a="1"/>
  <c r="D632" i="1" s="1"/>
  <c r="R631" i="1"/>
  <c r="N631" i="1"/>
  <c r="K631" i="1"/>
  <c r="D631" i="1" a="1"/>
  <c r="D631" i="1" s="1"/>
  <c r="R630" i="1"/>
  <c r="N630" i="1"/>
  <c r="K630" i="1"/>
  <c r="D630" i="1" a="1"/>
  <c r="D630" i="1" s="1"/>
  <c r="R629" i="1"/>
  <c r="N629" i="1"/>
  <c r="K629" i="1"/>
  <c r="D629" i="1" a="1"/>
  <c r="D629" i="1" s="1"/>
  <c r="N628" i="1"/>
  <c r="K628" i="1"/>
  <c r="D628" i="1" a="1"/>
  <c r="D628" i="1" s="1"/>
  <c r="R627" i="1"/>
  <c r="N627" i="1"/>
  <c r="K627" i="1"/>
  <c r="D627" i="1" a="1"/>
  <c r="D627" i="1" s="1"/>
  <c r="R626" i="1"/>
  <c r="N626" i="1"/>
  <c r="K626" i="1"/>
  <c r="D626" i="1" a="1"/>
  <c r="D626" i="1" s="1"/>
  <c r="R625" i="1"/>
  <c r="N625" i="1"/>
  <c r="K625" i="1"/>
  <c r="D625" i="1" a="1"/>
  <c r="D625" i="1" s="1"/>
  <c r="R624" i="1"/>
  <c r="N624" i="1"/>
  <c r="K624" i="1"/>
  <c r="D624" i="1" a="1"/>
  <c r="D624" i="1" s="1"/>
  <c r="R623" i="1"/>
  <c r="N623" i="1"/>
  <c r="K623" i="1"/>
  <c r="D623" i="1" a="1"/>
  <c r="D623" i="1" s="1"/>
  <c r="K622" i="1"/>
  <c r="D622" i="1" a="1"/>
  <c r="D622" i="1" s="1"/>
  <c r="N621" i="1"/>
  <c r="K621" i="1"/>
  <c r="D621" i="1" a="1"/>
  <c r="D621" i="1" s="1"/>
  <c r="R620" i="1"/>
  <c r="N620" i="1"/>
  <c r="K620" i="1"/>
  <c r="D620" i="1" a="1"/>
  <c r="D620" i="1" s="1"/>
  <c r="R619" i="1"/>
  <c r="N619" i="1"/>
  <c r="K619" i="1"/>
  <c r="D619" i="1" a="1"/>
  <c r="D619" i="1" s="1"/>
  <c r="R618" i="1"/>
  <c r="N618" i="1"/>
  <c r="K618" i="1"/>
  <c r="D618" i="1" a="1"/>
  <c r="D618" i="1" s="1"/>
  <c r="R617" i="1"/>
  <c r="N617" i="1"/>
  <c r="K617" i="1"/>
  <c r="D617" i="1" a="1"/>
  <c r="D617" i="1" s="1"/>
  <c r="N616" i="1"/>
  <c r="K616" i="1"/>
  <c r="D616" i="1" a="1"/>
  <c r="D616" i="1" s="1"/>
  <c r="N615" i="1"/>
  <c r="K615" i="1"/>
  <c r="D615" i="1" a="1"/>
  <c r="D615" i="1" s="1"/>
  <c r="K614" i="1"/>
  <c r="D614" i="1" a="1"/>
  <c r="D614" i="1" s="1"/>
  <c r="R613" i="1"/>
  <c r="N613" i="1"/>
  <c r="K613" i="1"/>
  <c r="D613" i="1" a="1"/>
  <c r="D613" i="1" s="1"/>
  <c r="K612" i="1"/>
  <c r="D612" i="1" a="1"/>
  <c r="D612" i="1" s="1"/>
  <c r="K611" i="1"/>
  <c r="D611" i="1" a="1"/>
  <c r="D611" i="1" s="1"/>
  <c r="K610" i="1"/>
  <c r="D610" i="1" a="1"/>
  <c r="D610" i="1" s="1"/>
  <c r="R609" i="1"/>
  <c r="N609" i="1"/>
  <c r="K609" i="1"/>
  <c r="D609" i="1" a="1"/>
  <c r="D609" i="1" s="1"/>
  <c r="R608" i="1"/>
  <c r="N608" i="1"/>
  <c r="K608" i="1"/>
  <c r="D608" i="1" a="1"/>
  <c r="D608" i="1" s="1"/>
  <c r="R607" i="1"/>
  <c r="N607" i="1"/>
  <c r="K607" i="1"/>
  <c r="F607" i="1"/>
  <c r="F721" i="1" s="1"/>
  <c r="D607" i="1" a="1"/>
  <c r="D607" i="1" s="1"/>
  <c r="R606" i="1"/>
  <c r="N606" i="1"/>
  <c r="K606" i="1"/>
  <c r="D606" i="1" a="1"/>
  <c r="D606" i="1" s="1"/>
  <c r="R605" i="1"/>
  <c r="N605" i="1"/>
  <c r="K605" i="1"/>
  <c r="D605" i="1" a="1"/>
  <c r="D605" i="1" s="1"/>
  <c r="N604" i="1"/>
  <c r="K604" i="1"/>
  <c r="D604" i="1" a="1"/>
  <c r="D604" i="1" s="1"/>
  <c r="R603" i="1"/>
  <c r="T603" i="1" s="1"/>
  <c r="P603" i="1"/>
  <c r="K603" i="1"/>
  <c r="D603" i="1" a="1"/>
  <c r="D603" i="1" s="1"/>
  <c r="R602" i="1"/>
  <c r="N602" i="1"/>
  <c r="K602" i="1"/>
  <c r="D602" i="1" a="1"/>
  <c r="D602" i="1" s="1"/>
  <c r="K601" i="1"/>
  <c r="D601" i="1" a="1"/>
  <c r="D601" i="1" s="1"/>
  <c r="K600" i="1"/>
  <c r="D600" i="1" a="1"/>
  <c r="D600" i="1" s="1"/>
  <c r="K599" i="1"/>
  <c r="D599" i="1" a="1"/>
  <c r="D599" i="1" s="1"/>
  <c r="K598" i="1"/>
  <c r="D598" i="1" a="1"/>
  <c r="D598" i="1" s="1"/>
  <c r="N597" i="1"/>
  <c r="K597" i="1"/>
  <c r="D597" i="1" a="1"/>
  <c r="D597" i="1" s="1"/>
  <c r="K596" i="1"/>
  <c r="D596" i="1" a="1"/>
  <c r="D596" i="1" s="1"/>
  <c r="K595" i="1"/>
  <c r="D595" i="1" a="1"/>
  <c r="D595" i="1" s="1"/>
  <c r="R594" i="1"/>
  <c r="N594" i="1"/>
  <c r="K594" i="1"/>
  <c r="D594" i="1" a="1"/>
  <c r="D594" i="1" s="1"/>
  <c r="R593" i="1"/>
  <c r="N593" i="1"/>
  <c r="K593" i="1"/>
  <c r="D593" i="1" a="1"/>
  <c r="D593" i="1" s="1"/>
  <c r="R592" i="1"/>
  <c r="N592" i="1"/>
  <c r="K592" i="1"/>
  <c r="D592" i="1" a="1"/>
  <c r="D592" i="1" s="1"/>
  <c r="R591" i="1"/>
  <c r="N591" i="1"/>
  <c r="K591" i="1"/>
  <c r="D591" i="1" a="1"/>
  <c r="D591" i="1" s="1"/>
  <c r="K590" i="1"/>
  <c r="D590" i="1" a="1"/>
  <c r="D590" i="1" s="1"/>
  <c r="R589" i="1"/>
  <c r="N589" i="1"/>
  <c r="K589" i="1"/>
  <c r="D589" i="1" a="1"/>
  <c r="D589" i="1" s="1"/>
  <c r="K588" i="1"/>
  <c r="D588" i="1" a="1"/>
  <c r="D588" i="1" s="1"/>
  <c r="K587" i="1"/>
  <c r="D587" i="1" a="1"/>
  <c r="D587" i="1" s="1"/>
  <c r="N586" i="1"/>
  <c r="K586" i="1"/>
  <c r="D586" i="1" a="1"/>
  <c r="D586" i="1" s="1"/>
  <c r="K585" i="1"/>
  <c r="D585" i="1" a="1"/>
  <c r="D585" i="1" s="1"/>
  <c r="K584" i="1"/>
  <c r="D584" i="1" a="1"/>
  <c r="D584" i="1" s="1"/>
  <c r="K583" i="1"/>
  <c r="D583" i="1" a="1"/>
  <c r="D583" i="1" s="1"/>
  <c r="K582" i="1"/>
  <c r="D582" i="1" a="1"/>
  <c r="D582" i="1" s="1"/>
  <c r="K581" i="1"/>
  <c r="D581" i="1" a="1"/>
  <c r="D581" i="1" s="1"/>
  <c r="K580" i="1"/>
  <c r="D580" i="1" a="1"/>
  <c r="D580" i="1" s="1"/>
  <c r="R579" i="1"/>
  <c r="K579" i="1"/>
  <c r="D579" i="1" a="1"/>
  <c r="D579" i="1" s="1"/>
  <c r="K578" i="1"/>
  <c r="D578" i="1" a="1"/>
  <c r="D578" i="1" s="1"/>
  <c r="K577" i="1"/>
  <c r="D577" i="1" a="1"/>
  <c r="D577" i="1" s="1"/>
  <c r="K576" i="1"/>
  <c r="D576" i="1" a="1"/>
  <c r="D576" i="1" s="1"/>
  <c r="K575" i="1"/>
  <c r="D575" i="1" a="1"/>
  <c r="D575" i="1" s="1"/>
  <c r="K574" i="1"/>
  <c r="D574" i="1" a="1"/>
  <c r="D574" i="1" s="1"/>
  <c r="K573" i="1"/>
  <c r="D573" i="1" a="1"/>
  <c r="D573" i="1" s="1"/>
  <c r="K572" i="1"/>
  <c r="D572" i="1" a="1"/>
  <c r="D572" i="1" s="1"/>
  <c r="K571" i="1"/>
  <c r="D571" i="1" a="1"/>
  <c r="D571" i="1" s="1"/>
  <c r="K570" i="1"/>
  <c r="D570" i="1" a="1"/>
  <c r="D570" i="1" s="1"/>
  <c r="K569" i="1"/>
  <c r="D569" i="1" a="1"/>
  <c r="D569" i="1" s="1"/>
  <c r="K568" i="1"/>
  <c r="D568" i="1" a="1"/>
  <c r="D568" i="1" s="1"/>
  <c r="K567" i="1"/>
  <c r="D567" i="1" a="1"/>
  <c r="D567" i="1" s="1"/>
  <c r="K566" i="1"/>
  <c r="D566" i="1" a="1"/>
  <c r="D566" i="1" s="1"/>
  <c r="K565" i="1"/>
  <c r="D565" i="1" a="1"/>
  <c r="D565" i="1" s="1"/>
  <c r="K564" i="1"/>
  <c r="D564" i="1" a="1"/>
  <c r="D564" i="1" s="1"/>
  <c r="K563" i="1"/>
  <c r="D563" i="1" a="1"/>
  <c r="D563" i="1" s="1"/>
  <c r="T562" i="1"/>
  <c r="P562" i="1"/>
  <c r="K562" i="1"/>
  <c r="D562" i="1" a="1"/>
  <c r="D562" i="1" s="1"/>
  <c r="K561" i="1"/>
  <c r="D561" i="1" a="1"/>
  <c r="D561" i="1" s="1"/>
  <c r="K560" i="1"/>
  <c r="D560" i="1" a="1"/>
  <c r="D560" i="1" s="1"/>
  <c r="K559" i="1"/>
  <c r="D559" i="1" a="1"/>
  <c r="D559" i="1" s="1"/>
  <c r="K558" i="1"/>
  <c r="D558" i="1" a="1"/>
  <c r="D558" i="1" s="1"/>
  <c r="K557" i="1"/>
  <c r="D557" i="1" a="1"/>
  <c r="D557" i="1" s="1"/>
  <c r="K556" i="1"/>
  <c r="D556" i="1" a="1"/>
  <c r="D556" i="1" s="1"/>
  <c r="K555" i="1"/>
  <c r="D555" i="1" a="1"/>
  <c r="D555" i="1" s="1"/>
  <c r="K554" i="1"/>
  <c r="D554" i="1" a="1"/>
  <c r="D554" i="1" s="1"/>
  <c r="K553" i="1"/>
  <c r="D553" i="1" a="1"/>
  <c r="D553" i="1" s="1"/>
  <c r="K552" i="1"/>
  <c r="D552" i="1" a="1"/>
  <c r="D552" i="1" s="1"/>
  <c r="K551" i="1"/>
  <c r="D551" i="1" a="1"/>
  <c r="D551" i="1" s="1"/>
  <c r="K550" i="1"/>
  <c r="D550" i="1" a="1"/>
  <c r="D550" i="1" s="1"/>
  <c r="K549" i="1"/>
  <c r="D549" i="1" a="1"/>
  <c r="D549" i="1" s="1"/>
  <c r="K548" i="1"/>
  <c r="D548" i="1" a="1"/>
  <c r="D548" i="1" s="1"/>
  <c r="K547" i="1"/>
  <c r="D547" i="1" a="1"/>
  <c r="D547" i="1" s="1"/>
  <c r="K546" i="1"/>
  <c r="D546" i="1" a="1"/>
  <c r="D546" i="1" s="1"/>
  <c r="K545" i="1"/>
  <c r="D545" i="1" a="1"/>
  <c r="D545" i="1" s="1"/>
  <c r="K544" i="1"/>
  <c r="D544" i="1" a="1"/>
  <c r="D544" i="1" s="1"/>
  <c r="K543" i="1"/>
  <c r="D543" i="1" a="1"/>
  <c r="D543" i="1" s="1"/>
  <c r="K542" i="1"/>
  <c r="D542" i="1" a="1"/>
  <c r="D542" i="1" s="1"/>
  <c r="K541" i="1"/>
  <c r="D541" i="1" a="1"/>
  <c r="D541" i="1" s="1"/>
  <c r="K540" i="1"/>
  <c r="D540" i="1" a="1"/>
  <c r="D540" i="1" s="1"/>
  <c r="K539" i="1"/>
  <c r="D539" i="1" a="1"/>
  <c r="D539" i="1" s="1"/>
  <c r="K538" i="1"/>
  <c r="D538" i="1" a="1"/>
  <c r="D538" i="1" s="1"/>
  <c r="K537" i="1"/>
  <c r="D537" i="1" a="1"/>
  <c r="D537" i="1" s="1"/>
  <c r="K536" i="1"/>
  <c r="D536" i="1" a="1"/>
  <c r="D536" i="1" s="1"/>
  <c r="K535" i="1"/>
  <c r="D535" i="1" a="1"/>
  <c r="D535" i="1" s="1"/>
  <c r="K534" i="1"/>
  <c r="D534" i="1" a="1"/>
  <c r="D534" i="1" s="1"/>
  <c r="K533" i="1"/>
  <c r="D533" i="1" a="1"/>
  <c r="D533" i="1" s="1"/>
  <c r="K532" i="1"/>
  <c r="D532" i="1" a="1"/>
  <c r="D532" i="1" s="1"/>
  <c r="K531" i="1"/>
  <c r="D531" i="1" a="1"/>
  <c r="D531" i="1" s="1"/>
  <c r="K530" i="1"/>
  <c r="D530" i="1" a="1"/>
  <c r="D530" i="1" s="1"/>
  <c r="K529" i="1"/>
  <c r="D529" i="1" a="1"/>
  <c r="D529" i="1" s="1"/>
  <c r="K528" i="1"/>
  <c r="D528" i="1" a="1"/>
  <c r="D528" i="1" s="1"/>
  <c r="K527" i="1"/>
  <c r="D527" i="1" a="1"/>
  <c r="D527" i="1" s="1"/>
  <c r="K526" i="1"/>
  <c r="D526" i="1" a="1"/>
  <c r="D526" i="1" s="1"/>
  <c r="K525" i="1"/>
  <c r="D525" i="1" a="1"/>
  <c r="D525" i="1" s="1"/>
  <c r="P524" i="1"/>
  <c r="K524" i="1"/>
  <c r="D524" i="1" a="1"/>
  <c r="D524" i="1" s="1"/>
  <c r="K523" i="1"/>
  <c r="D523" i="1" a="1"/>
  <c r="D523" i="1" s="1"/>
  <c r="K522" i="1"/>
  <c r="D522" i="1" a="1"/>
  <c r="D522" i="1" s="1"/>
  <c r="K521" i="1"/>
  <c r="D521" i="1" a="1"/>
  <c r="D521" i="1" s="1"/>
  <c r="P520" i="1"/>
  <c r="K520" i="1"/>
  <c r="D520" i="1" a="1"/>
  <c r="D520" i="1" s="1"/>
  <c r="K519" i="1"/>
  <c r="D519" i="1" a="1"/>
  <c r="D519" i="1" s="1"/>
  <c r="K518" i="1"/>
  <c r="D518" i="1" a="1"/>
  <c r="D518" i="1" s="1"/>
  <c r="K517" i="1"/>
  <c r="D517" i="1" a="1"/>
  <c r="D517" i="1" s="1"/>
  <c r="K516" i="1"/>
  <c r="D516" i="1" a="1"/>
  <c r="D516" i="1" s="1"/>
  <c r="K515" i="1"/>
  <c r="D515" i="1" a="1"/>
  <c r="D515" i="1" s="1"/>
  <c r="K514" i="1"/>
  <c r="D514" i="1" a="1"/>
  <c r="D514" i="1" s="1"/>
  <c r="T513" i="1"/>
  <c r="K513" i="1"/>
  <c r="D513" i="1" a="1"/>
  <c r="D513" i="1" s="1"/>
  <c r="T512" i="1"/>
  <c r="P512" i="1"/>
  <c r="K512" i="1"/>
  <c r="D512" i="1" a="1"/>
  <c r="D512" i="1" s="1"/>
  <c r="T511" i="1"/>
  <c r="P511" i="1"/>
  <c r="K511" i="1"/>
  <c r="D511" i="1" a="1"/>
  <c r="D511" i="1" s="1"/>
  <c r="T510" i="1"/>
  <c r="P510" i="1"/>
  <c r="K510" i="1"/>
  <c r="D510" i="1" a="1"/>
  <c r="D510" i="1" s="1"/>
  <c r="T509" i="1"/>
  <c r="P509" i="1"/>
  <c r="K509" i="1"/>
  <c r="D509" i="1" a="1"/>
  <c r="D509" i="1" s="1"/>
  <c r="P508" i="1"/>
  <c r="K508" i="1"/>
  <c r="D508" i="1" a="1"/>
  <c r="D508" i="1" s="1"/>
  <c r="K507" i="1"/>
  <c r="D507" i="1" a="1"/>
  <c r="D507" i="1" s="1"/>
  <c r="T506" i="1"/>
  <c r="P506" i="1"/>
  <c r="K506" i="1"/>
  <c r="D506" i="1" a="1"/>
  <c r="D506" i="1" s="1"/>
  <c r="T505" i="1"/>
  <c r="P505" i="1"/>
  <c r="K505" i="1"/>
  <c r="D505" i="1" a="1"/>
  <c r="D505" i="1" s="1"/>
  <c r="K504" i="1"/>
  <c r="D504" i="1" a="1"/>
  <c r="D504" i="1" s="1"/>
  <c r="T503" i="1"/>
  <c r="P503" i="1"/>
  <c r="K503" i="1"/>
  <c r="D503" i="1" a="1"/>
  <c r="D503" i="1" s="1"/>
  <c r="T502" i="1"/>
  <c r="P502" i="1"/>
  <c r="K502" i="1"/>
  <c r="D502" i="1" a="1"/>
  <c r="D502" i="1" s="1"/>
  <c r="T501" i="1"/>
  <c r="P501" i="1"/>
  <c r="K501" i="1"/>
  <c r="D501" i="1" a="1"/>
  <c r="D501" i="1" s="1"/>
  <c r="P500" i="1"/>
  <c r="K500" i="1"/>
  <c r="D500" i="1" a="1"/>
  <c r="D500" i="1" s="1"/>
  <c r="P499" i="1"/>
  <c r="K499" i="1"/>
  <c r="D499" i="1" a="1"/>
  <c r="D499" i="1" s="1"/>
  <c r="K498" i="1"/>
  <c r="D498" i="1" a="1"/>
  <c r="D498" i="1" s="1"/>
  <c r="T497" i="1"/>
  <c r="P497" i="1"/>
  <c r="K497" i="1"/>
  <c r="D497" i="1" a="1"/>
  <c r="D497" i="1" s="1"/>
  <c r="K496" i="1"/>
  <c r="D496" i="1" a="1"/>
  <c r="D496" i="1" s="1"/>
  <c r="T495" i="1"/>
  <c r="P495" i="1"/>
  <c r="K495" i="1"/>
  <c r="D495" i="1" a="1"/>
  <c r="D495" i="1" s="1"/>
  <c r="K494" i="1"/>
  <c r="D494" i="1" a="1"/>
  <c r="D494" i="1" s="1"/>
  <c r="T493" i="1"/>
  <c r="P493" i="1"/>
  <c r="K493" i="1"/>
  <c r="D493" i="1" a="1"/>
  <c r="D493" i="1" s="1"/>
  <c r="P492" i="1"/>
  <c r="K492" i="1"/>
  <c r="D492" i="1" a="1"/>
  <c r="D492" i="1" s="1"/>
  <c r="P491" i="1"/>
  <c r="K491" i="1"/>
  <c r="D491" i="1" a="1"/>
  <c r="D491" i="1" s="1"/>
  <c r="P490" i="1"/>
  <c r="K490" i="1"/>
  <c r="D490" i="1" a="1"/>
  <c r="D490" i="1" s="1"/>
  <c r="T489" i="1"/>
  <c r="P489" i="1"/>
  <c r="K489" i="1"/>
  <c r="D489" i="1" a="1"/>
  <c r="D489" i="1" s="1"/>
  <c r="T488" i="1"/>
  <c r="P488" i="1"/>
  <c r="K488" i="1"/>
  <c r="D488" i="1" a="1"/>
  <c r="D488" i="1" s="1"/>
  <c r="T487" i="1"/>
  <c r="P487" i="1"/>
  <c r="K487" i="1"/>
  <c r="D487" i="1" a="1"/>
  <c r="D487" i="1" s="1"/>
  <c r="T486" i="1"/>
  <c r="P486" i="1"/>
  <c r="K486" i="1"/>
  <c r="D486" i="1" a="1"/>
  <c r="D486" i="1" s="1"/>
  <c r="T485" i="1"/>
  <c r="P485" i="1"/>
  <c r="K485" i="1"/>
  <c r="D485" i="1" a="1"/>
  <c r="D485" i="1" s="1"/>
  <c r="T484" i="1"/>
  <c r="P484" i="1"/>
  <c r="K484" i="1"/>
  <c r="D484" i="1" a="1"/>
  <c r="D484" i="1" s="1"/>
  <c r="T483" i="1"/>
  <c r="P483" i="1"/>
  <c r="K483" i="1"/>
  <c r="D483" i="1" a="1"/>
  <c r="D483" i="1" s="1"/>
  <c r="T482" i="1"/>
  <c r="P482" i="1"/>
  <c r="K482" i="1"/>
  <c r="D482" i="1" a="1"/>
  <c r="D482" i="1" s="1"/>
  <c r="K481" i="1"/>
  <c r="D481" i="1" a="1"/>
  <c r="D481" i="1" s="1"/>
  <c r="T480" i="1"/>
  <c r="P480" i="1"/>
  <c r="K480" i="1"/>
  <c r="D480" i="1" a="1"/>
  <c r="D480" i="1" s="1"/>
  <c r="T479" i="1"/>
  <c r="P479" i="1"/>
  <c r="K479" i="1"/>
  <c r="D479" i="1" a="1"/>
  <c r="D479" i="1" s="1"/>
  <c r="K478" i="1"/>
  <c r="D478" i="1" a="1"/>
  <c r="D478" i="1" s="1"/>
  <c r="P477" i="1"/>
  <c r="K477" i="1"/>
  <c r="D477" i="1" a="1"/>
  <c r="D477" i="1" s="1"/>
  <c r="T476" i="1"/>
  <c r="P476" i="1"/>
  <c r="K476" i="1"/>
  <c r="D476" i="1" a="1"/>
  <c r="D476" i="1" s="1"/>
  <c r="T475" i="1"/>
  <c r="P475" i="1"/>
  <c r="K475" i="1"/>
  <c r="D475" i="1" a="1"/>
  <c r="D475" i="1" s="1"/>
  <c r="P474" i="1"/>
  <c r="K474" i="1"/>
  <c r="D474" i="1" a="1"/>
  <c r="D474" i="1" s="1"/>
  <c r="T473" i="1"/>
  <c r="P473" i="1"/>
  <c r="K473" i="1"/>
  <c r="D473" i="1" a="1"/>
  <c r="D473" i="1" s="1"/>
  <c r="T472" i="1"/>
  <c r="P472" i="1"/>
  <c r="K472" i="1"/>
  <c r="D472" i="1" a="1"/>
  <c r="D472" i="1" s="1"/>
  <c r="T471" i="1"/>
  <c r="P471" i="1"/>
  <c r="K471" i="1"/>
  <c r="D471" i="1" a="1"/>
  <c r="D471" i="1" s="1"/>
  <c r="T470" i="1"/>
  <c r="P470" i="1"/>
  <c r="K470" i="1"/>
  <c r="D470" i="1" a="1"/>
  <c r="D470" i="1" s="1"/>
  <c r="T469" i="1"/>
  <c r="P469" i="1"/>
  <c r="K469" i="1"/>
  <c r="D469" i="1" a="1"/>
  <c r="D469" i="1" s="1"/>
  <c r="T468" i="1"/>
  <c r="P468" i="1"/>
  <c r="K468" i="1"/>
  <c r="D468" i="1" a="1"/>
  <c r="D468" i="1" s="1"/>
  <c r="T467" i="1"/>
  <c r="P467" i="1"/>
  <c r="K467" i="1"/>
  <c r="D467" i="1" a="1"/>
  <c r="D467" i="1" s="1"/>
  <c r="T466" i="1"/>
  <c r="P466" i="1"/>
  <c r="K466" i="1"/>
  <c r="F466" i="1"/>
  <c r="D466" i="1" a="1"/>
  <c r="D466" i="1" s="1"/>
  <c r="T465" i="1"/>
  <c r="P465" i="1"/>
  <c r="K465" i="1"/>
  <c r="D465" i="1" a="1"/>
  <c r="D465" i="1" s="1"/>
  <c r="T464" i="1"/>
  <c r="P464" i="1"/>
  <c r="K464" i="1"/>
  <c r="D464" i="1" a="1"/>
  <c r="D464" i="1" s="1"/>
  <c r="K463" i="1"/>
  <c r="D463" i="1" a="1"/>
  <c r="D463" i="1" s="1"/>
  <c r="T462" i="1"/>
  <c r="P462" i="1"/>
  <c r="K462" i="1"/>
  <c r="D462" i="1" a="1"/>
  <c r="D462" i="1" s="1"/>
  <c r="T461" i="1"/>
  <c r="P461" i="1"/>
  <c r="K461" i="1"/>
  <c r="D461" i="1" a="1"/>
  <c r="D461" i="1" s="1"/>
  <c r="T460" i="1"/>
  <c r="P460" i="1"/>
  <c r="K460" i="1"/>
  <c r="D460" i="1" a="1"/>
  <c r="D460" i="1" s="1"/>
  <c r="T459" i="1"/>
  <c r="P459" i="1"/>
  <c r="K459" i="1"/>
  <c r="D459" i="1" a="1"/>
  <c r="D459" i="1" s="1"/>
  <c r="T458" i="1"/>
  <c r="P458" i="1"/>
  <c r="K458" i="1"/>
  <c r="D458" i="1" a="1"/>
  <c r="D458" i="1" s="1"/>
  <c r="T457" i="1"/>
  <c r="P457" i="1"/>
  <c r="K457" i="1"/>
  <c r="D457" i="1" a="1"/>
  <c r="D457" i="1" s="1"/>
  <c r="T456" i="1"/>
  <c r="P456" i="1"/>
  <c r="K456" i="1"/>
  <c r="D456" i="1" a="1"/>
  <c r="D456" i="1" s="1"/>
  <c r="T455" i="1"/>
  <c r="P455" i="1"/>
  <c r="K455" i="1"/>
  <c r="D455" i="1" a="1"/>
  <c r="D455" i="1" s="1"/>
  <c r="T454" i="1"/>
  <c r="P454" i="1"/>
  <c r="K454" i="1"/>
  <c r="D454" i="1" a="1"/>
  <c r="D454" i="1" s="1"/>
  <c r="T453" i="1"/>
  <c r="P453" i="1"/>
  <c r="K453" i="1"/>
  <c r="D453" i="1" a="1"/>
  <c r="D453" i="1" s="1"/>
  <c r="T452" i="1"/>
  <c r="P452" i="1"/>
  <c r="K452" i="1"/>
  <c r="D452" i="1" a="1"/>
  <c r="D452" i="1" s="1"/>
  <c r="T451" i="1"/>
  <c r="P451" i="1"/>
  <c r="K451" i="1"/>
  <c r="D451" i="1" a="1"/>
  <c r="D451" i="1" s="1"/>
  <c r="T450" i="1"/>
  <c r="P450" i="1"/>
  <c r="K450" i="1"/>
  <c r="D450" i="1" a="1"/>
  <c r="D450" i="1" s="1"/>
  <c r="T449" i="1"/>
  <c r="P449" i="1"/>
  <c r="K449" i="1"/>
  <c r="D449" i="1" a="1"/>
  <c r="D449" i="1" s="1"/>
  <c r="T448" i="1"/>
  <c r="P448" i="1"/>
  <c r="K448" i="1"/>
  <c r="D448" i="1" a="1"/>
  <c r="D448" i="1" s="1"/>
  <c r="T447" i="1"/>
  <c r="P447" i="1"/>
  <c r="K447" i="1"/>
  <c r="D447" i="1" a="1"/>
  <c r="D447" i="1" s="1"/>
  <c r="T446" i="1"/>
  <c r="P446" i="1"/>
  <c r="K446" i="1"/>
  <c r="D446" i="1" a="1"/>
  <c r="D446" i="1" s="1"/>
  <c r="K445" i="1"/>
  <c r="D445" i="1" a="1"/>
  <c r="D445" i="1" s="1"/>
  <c r="T444" i="1"/>
  <c r="P444" i="1"/>
  <c r="K444" i="1"/>
  <c r="D444" i="1" a="1"/>
  <c r="D444" i="1" s="1"/>
  <c r="T443" i="1"/>
  <c r="P443" i="1"/>
  <c r="K443" i="1"/>
  <c r="D443" i="1" a="1"/>
  <c r="D443" i="1" s="1"/>
  <c r="T442" i="1"/>
  <c r="P442" i="1"/>
  <c r="K442" i="1"/>
  <c r="D442" i="1" a="1"/>
  <c r="D442" i="1" s="1"/>
  <c r="T441" i="1"/>
  <c r="P441" i="1"/>
  <c r="K441" i="1"/>
  <c r="D441" i="1" a="1"/>
  <c r="D441" i="1" s="1"/>
  <c r="T440" i="1"/>
  <c r="P440" i="1"/>
  <c r="K440" i="1"/>
  <c r="D440" i="1" a="1"/>
  <c r="D440" i="1" s="1"/>
  <c r="T439" i="1"/>
  <c r="P439" i="1"/>
  <c r="K439" i="1"/>
  <c r="D439" i="1" a="1"/>
  <c r="D439" i="1" s="1"/>
  <c r="T438" i="1"/>
  <c r="P438" i="1"/>
  <c r="K438" i="1"/>
  <c r="D438" i="1" a="1"/>
  <c r="D438" i="1" s="1"/>
  <c r="P437" i="1"/>
  <c r="K437" i="1"/>
  <c r="D437" i="1" a="1"/>
  <c r="D437" i="1" s="1"/>
  <c r="T436" i="1"/>
  <c r="P436" i="1"/>
  <c r="K436" i="1"/>
  <c r="D436" i="1" a="1"/>
  <c r="D436" i="1" s="1"/>
  <c r="T435" i="1"/>
  <c r="P435" i="1"/>
  <c r="K435" i="1"/>
  <c r="D435" i="1" a="1"/>
  <c r="D435" i="1" s="1"/>
  <c r="T434" i="1"/>
  <c r="P434" i="1"/>
  <c r="K434" i="1"/>
  <c r="D434" i="1" a="1"/>
  <c r="D434" i="1" s="1"/>
  <c r="T433" i="1"/>
  <c r="P433" i="1"/>
  <c r="K433" i="1"/>
  <c r="D433" i="1" a="1"/>
  <c r="D433" i="1" s="1"/>
  <c r="T432" i="1"/>
  <c r="P432" i="1"/>
  <c r="K432" i="1"/>
  <c r="D432" i="1" a="1"/>
  <c r="D432" i="1" s="1"/>
  <c r="T431" i="1"/>
  <c r="P431" i="1"/>
  <c r="K431" i="1"/>
  <c r="D431" i="1" a="1"/>
  <c r="D431" i="1" s="1"/>
  <c r="T430" i="1"/>
  <c r="P430" i="1"/>
  <c r="K430" i="1"/>
  <c r="D430" i="1" a="1"/>
  <c r="D430" i="1" s="1"/>
  <c r="K429" i="1"/>
  <c r="D429" i="1" a="1"/>
  <c r="D429" i="1" s="1"/>
  <c r="K428" i="1"/>
  <c r="D428" i="1" a="1"/>
  <c r="D428" i="1" s="1"/>
  <c r="K427" i="1"/>
  <c r="D427" i="1" a="1"/>
  <c r="D427" i="1" s="1"/>
  <c r="K426" i="1"/>
  <c r="D426" i="1" a="1"/>
  <c r="D426" i="1" s="1"/>
  <c r="K425" i="1"/>
  <c r="D425" i="1" a="1"/>
  <c r="D425" i="1" s="1"/>
  <c r="P424" i="1"/>
  <c r="K424" i="1"/>
  <c r="D424" i="1" a="1"/>
  <c r="D424" i="1" s="1"/>
  <c r="K423" i="1"/>
  <c r="D423" i="1" a="1"/>
  <c r="D423" i="1" s="1"/>
  <c r="K422" i="1"/>
  <c r="D422" i="1" a="1"/>
  <c r="D422" i="1" s="1"/>
  <c r="K421" i="1"/>
  <c r="D421" i="1" a="1"/>
  <c r="D421" i="1" s="1"/>
  <c r="K420" i="1"/>
  <c r="D420" i="1" a="1"/>
  <c r="D420" i="1" s="1"/>
  <c r="K419" i="1"/>
  <c r="D419" i="1" a="1"/>
  <c r="D419" i="1" s="1"/>
  <c r="K418" i="1"/>
  <c r="D418" i="1" a="1"/>
  <c r="D418" i="1" s="1"/>
  <c r="K417" i="1"/>
  <c r="D417" i="1" a="1"/>
  <c r="D417" i="1" s="1"/>
  <c r="K416" i="1"/>
  <c r="D416" i="1" a="1"/>
  <c r="D416" i="1" s="1"/>
  <c r="K415" i="1"/>
  <c r="D415" i="1" a="1"/>
  <c r="D415" i="1" s="1"/>
  <c r="K414" i="1"/>
  <c r="D414" i="1" a="1"/>
  <c r="D414" i="1" s="1"/>
  <c r="K413" i="1"/>
  <c r="D413" i="1" a="1"/>
  <c r="D413" i="1" s="1"/>
  <c r="K412" i="1"/>
  <c r="D412" i="1" a="1"/>
  <c r="D412" i="1" s="1"/>
  <c r="K411" i="1"/>
  <c r="D411" i="1" a="1"/>
  <c r="D411" i="1" s="1"/>
  <c r="K410" i="1"/>
  <c r="D410" i="1" a="1"/>
  <c r="D410" i="1" s="1"/>
  <c r="K409" i="1"/>
  <c r="D409" i="1" a="1"/>
  <c r="D409" i="1" s="1"/>
  <c r="K408" i="1"/>
  <c r="D408" i="1" a="1"/>
  <c r="D408" i="1" s="1"/>
  <c r="K407" i="1"/>
  <c r="D407" i="1" a="1"/>
  <c r="D407" i="1" s="1"/>
  <c r="K406" i="1"/>
  <c r="D406" i="1" a="1"/>
  <c r="D406" i="1" s="1"/>
  <c r="K405" i="1"/>
  <c r="D405" i="1" a="1"/>
  <c r="D405" i="1" s="1"/>
  <c r="K404" i="1"/>
  <c r="D404" i="1" a="1"/>
  <c r="D404" i="1" s="1"/>
  <c r="K403" i="1"/>
  <c r="D403" i="1" a="1"/>
  <c r="D403" i="1" s="1"/>
  <c r="K402" i="1"/>
  <c r="D402" i="1" a="1"/>
  <c r="D402" i="1" s="1"/>
  <c r="K401" i="1"/>
  <c r="D401" i="1" a="1"/>
  <c r="D401" i="1" s="1"/>
  <c r="K400" i="1"/>
  <c r="D400" i="1" a="1"/>
  <c r="D400" i="1" s="1"/>
  <c r="K399" i="1"/>
  <c r="D399" i="1" a="1"/>
  <c r="D399" i="1" s="1"/>
  <c r="K398" i="1"/>
  <c r="D398" i="1" a="1"/>
  <c r="D398" i="1" s="1"/>
  <c r="T397" i="1"/>
  <c r="P397" i="1"/>
  <c r="K397" i="1"/>
  <c r="D397" i="1" a="1"/>
  <c r="D397" i="1" s="1"/>
  <c r="K396" i="1"/>
  <c r="D396" i="1" a="1"/>
  <c r="D396" i="1" s="1"/>
  <c r="K395" i="1"/>
  <c r="D395" i="1" a="1"/>
  <c r="D395" i="1" s="1"/>
  <c r="K394" i="1"/>
  <c r="D394" i="1" a="1"/>
  <c r="D394" i="1" s="1"/>
  <c r="K393" i="1"/>
  <c r="D393" i="1" a="1"/>
  <c r="D393" i="1" s="1"/>
  <c r="K392" i="1"/>
  <c r="D392" i="1" a="1"/>
  <c r="D392" i="1" s="1"/>
  <c r="K391" i="1"/>
  <c r="D391" i="1" a="1"/>
  <c r="D391" i="1" s="1"/>
  <c r="K390" i="1"/>
  <c r="D390" i="1" a="1"/>
  <c r="D390" i="1" s="1"/>
  <c r="K389" i="1"/>
  <c r="D389" i="1" a="1"/>
  <c r="D389" i="1" s="1"/>
  <c r="K388" i="1"/>
  <c r="D388" i="1" a="1"/>
  <c r="D388" i="1" s="1"/>
  <c r="P387" i="1"/>
  <c r="K387" i="1"/>
  <c r="D387" i="1" a="1"/>
  <c r="D387" i="1" s="1"/>
  <c r="K386" i="1"/>
  <c r="D386" i="1" a="1"/>
  <c r="D386" i="1" s="1"/>
  <c r="K385" i="1"/>
  <c r="D385" i="1" a="1"/>
  <c r="D385" i="1" s="1"/>
  <c r="K384" i="1"/>
  <c r="D384" i="1" a="1"/>
  <c r="D384" i="1" s="1"/>
  <c r="K383" i="1"/>
  <c r="D383" i="1" a="1"/>
  <c r="D383" i="1" s="1"/>
  <c r="T382" i="1"/>
  <c r="P382" i="1"/>
  <c r="K382" i="1"/>
  <c r="D382" i="1" a="1"/>
  <c r="D382" i="1" s="1"/>
  <c r="K381" i="1"/>
  <c r="D381" i="1" a="1"/>
  <c r="D381" i="1" s="1"/>
  <c r="T380" i="1"/>
  <c r="P380" i="1"/>
  <c r="K380" i="1"/>
  <c r="D380" i="1" a="1"/>
  <c r="D380" i="1" s="1"/>
  <c r="K379" i="1"/>
  <c r="D379" i="1" a="1"/>
  <c r="D379" i="1" s="1"/>
  <c r="K378" i="1"/>
  <c r="D378" i="1" a="1"/>
  <c r="D378" i="1" s="1"/>
  <c r="K377" i="1"/>
  <c r="D377" i="1" a="1"/>
  <c r="D377" i="1" s="1"/>
  <c r="L376" i="1"/>
  <c r="K376" i="1"/>
  <c r="D376" i="1" a="1"/>
  <c r="D376" i="1" s="1"/>
  <c r="K375" i="1"/>
  <c r="D375" i="1" a="1"/>
  <c r="D375" i="1" s="1"/>
  <c r="K374" i="1"/>
  <c r="D374" i="1" a="1"/>
  <c r="D374" i="1" s="1"/>
  <c r="K373" i="1"/>
  <c r="D373" i="1" a="1"/>
  <c r="D373" i="1" s="1"/>
  <c r="K372" i="1"/>
  <c r="D372" i="1" a="1"/>
  <c r="D372" i="1" s="1"/>
  <c r="K371" i="1"/>
  <c r="D371" i="1" a="1"/>
  <c r="D371" i="1" s="1"/>
  <c r="K370" i="1"/>
  <c r="D370" i="1" a="1"/>
  <c r="D370" i="1" s="1"/>
  <c r="K369" i="1"/>
  <c r="D369" i="1" a="1"/>
  <c r="D369" i="1" s="1"/>
  <c r="K368" i="1"/>
  <c r="D368" i="1" a="1"/>
  <c r="D368" i="1" s="1"/>
  <c r="K367" i="1"/>
  <c r="D367" i="1" a="1"/>
  <c r="D367" i="1" s="1"/>
  <c r="K366" i="1"/>
  <c r="D366" i="1" a="1"/>
  <c r="D366" i="1" s="1"/>
  <c r="K365" i="1"/>
  <c r="D365" i="1" a="1"/>
  <c r="D365" i="1" s="1"/>
  <c r="K364" i="1"/>
  <c r="D364" i="1" a="1"/>
  <c r="D364" i="1" s="1"/>
  <c r="K363" i="1"/>
  <c r="D363" i="1" a="1"/>
  <c r="D363" i="1" s="1"/>
  <c r="P362" i="1"/>
  <c r="K362" i="1"/>
  <c r="D362" i="1" a="1"/>
  <c r="D362" i="1" s="1"/>
  <c r="K361" i="1"/>
  <c r="D361" i="1" a="1"/>
  <c r="D361" i="1" s="1"/>
  <c r="L360" i="1"/>
  <c r="K360" i="1"/>
  <c r="D360" i="1" a="1"/>
  <c r="D360" i="1" s="1"/>
  <c r="K359" i="1"/>
  <c r="D359" i="1" a="1"/>
  <c r="D359" i="1" s="1"/>
  <c r="K358" i="1"/>
  <c r="D358" i="1" a="1"/>
  <c r="D358" i="1" s="1"/>
  <c r="K357" i="1"/>
  <c r="D357" i="1" a="1"/>
  <c r="D357" i="1" s="1"/>
  <c r="K356" i="1"/>
  <c r="D356" i="1" a="1"/>
  <c r="D356" i="1" s="1"/>
  <c r="K355" i="1"/>
  <c r="D355" i="1" a="1"/>
  <c r="D355" i="1" s="1"/>
  <c r="K354" i="1"/>
  <c r="D354" i="1" a="1"/>
  <c r="D354" i="1" s="1"/>
  <c r="K353" i="1"/>
  <c r="D353" i="1" a="1"/>
  <c r="D353" i="1" s="1"/>
  <c r="K352" i="1"/>
  <c r="D352" i="1" a="1"/>
  <c r="D352" i="1" s="1"/>
  <c r="K351" i="1"/>
  <c r="D351" i="1" a="1"/>
  <c r="D351" i="1" s="1"/>
  <c r="K350" i="1"/>
  <c r="D350" i="1" a="1"/>
  <c r="D350" i="1" s="1"/>
  <c r="K349" i="1"/>
  <c r="D349" i="1" a="1"/>
  <c r="D349" i="1" s="1"/>
  <c r="K348" i="1"/>
  <c r="D348" i="1" a="1"/>
  <c r="D348" i="1" s="1"/>
  <c r="K347" i="1"/>
  <c r="D347" i="1" a="1"/>
  <c r="D347" i="1" s="1"/>
  <c r="K346" i="1"/>
  <c r="D346" i="1" a="1"/>
  <c r="D346" i="1" s="1"/>
  <c r="K345" i="1"/>
  <c r="D345" i="1" a="1"/>
  <c r="D345" i="1" s="1"/>
  <c r="K344" i="1"/>
  <c r="D344" i="1" a="1"/>
  <c r="D344" i="1" s="1"/>
  <c r="K343" i="1"/>
  <c r="D343" i="1" a="1"/>
  <c r="D343" i="1" s="1"/>
  <c r="K342" i="1"/>
  <c r="D342" i="1" a="1"/>
  <c r="D342" i="1" s="1"/>
  <c r="K341" i="1"/>
  <c r="D341" i="1" a="1"/>
  <c r="D341" i="1" s="1"/>
  <c r="K340" i="1"/>
  <c r="D340" i="1" a="1"/>
  <c r="D340" i="1" s="1"/>
  <c r="K339" i="1"/>
  <c r="D339" i="1" a="1"/>
  <c r="D339" i="1" s="1"/>
  <c r="K338" i="1"/>
  <c r="D338" i="1" a="1"/>
  <c r="D338" i="1" s="1"/>
  <c r="K337" i="1"/>
  <c r="D337" i="1" a="1"/>
  <c r="D337" i="1" s="1"/>
  <c r="K336" i="1"/>
  <c r="D336" i="1" a="1"/>
  <c r="D336" i="1" s="1"/>
  <c r="K335" i="1"/>
  <c r="D335" i="1" a="1"/>
  <c r="D335" i="1" s="1"/>
  <c r="K334" i="1"/>
  <c r="D334" i="1" a="1"/>
  <c r="D334" i="1" s="1"/>
  <c r="K333" i="1"/>
  <c r="D333" i="1" a="1"/>
  <c r="D333" i="1" s="1"/>
  <c r="K332" i="1"/>
  <c r="D332" i="1" a="1"/>
  <c r="D332" i="1" s="1"/>
  <c r="K331" i="1"/>
  <c r="D331" i="1" a="1"/>
  <c r="D331" i="1" s="1"/>
  <c r="K330" i="1"/>
  <c r="D330" i="1" a="1"/>
  <c r="D330" i="1" s="1"/>
  <c r="K329" i="1"/>
  <c r="D329" i="1" a="1"/>
  <c r="D329" i="1" s="1"/>
  <c r="K328" i="1"/>
  <c r="D328" i="1" a="1"/>
  <c r="D328" i="1" s="1"/>
  <c r="K327" i="1"/>
  <c r="D327" i="1" a="1"/>
  <c r="D327" i="1" s="1"/>
  <c r="K326" i="1"/>
  <c r="D326" i="1" a="1"/>
  <c r="D326" i="1" s="1"/>
  <c r="K325" i="1"/>
  <c r="D325" i="1" a="1"/>
  <c r="D325" i="1" s="1"/>
  <c r="K324" i="1"/>
  <c r="D324" i="1" a="1"/>
  <c r="D324" i="1" s="1"/>
  <c r="K323" i="1"/>
  <c r="D323" i="1" a="1"/>
  <c r="D323" i="1" s="1"/>
  <c r="K322" i="1"/>
  <c r="D322" i="1" a="1"/>
  <c r="D322" i="1" s="1"/>
  <c r="K321" i="1"/>
  <c r="D321" i="1" a="1"/>
  <c r="D321" i="1" s="1"/>
  <c r="K320" i="1"/>
  <c r="D320" i="1" a="1"/>
  <c r="D320" i="1" s="1"/>
  <c r="K319" i="1"/>
  <c r="D319" i="1" a="1"/>
  <c r="D319" i="1" s="1"/>
  <c r="K318" i="1"/>
  <c r="D318" i="1" a="1"/>
  <c r="D318" i="1" s="1"/>
  <c r="K317" i="1"/>
  <c r="D317" i="1" a="1"/>
  <c r="D317" i="1" s="1"/>
  <c r="K316" i="1"/>
  <c r="D316" i="1" a="1"/>
  <c r="D316" i="1" s="1"/>
  <c r="K315" i="1"/>
  <c r="D315" i="1" a="1"/>
  <c r="D315" i="1" s="1"/>
  <c r="K314" i="1"/>
  <c r="D314" i="1" a="1"/>
  <c r="D314" i="1" s="1"/>
  <c r="K313" i="1"/>
  <c r="D313" i="1" a="1"/>
  <c r="D313" i="1" s="1"/>
  <c r="K312" i="1"/>
  <c r="D312" i="1" a="1"/>
  <c r="D312" i="1" s="1"/>
  <c r="K311" i="1"/>
  <c r="D311" i="1" a="1"/>
  <c r="D311" i="1" s="1"/>
  <c r="K310" i="1"/>
  <c r="D310" i="1" a="1"/>
  <c r="D310" i="1" s="1"/>
  <c r="K309" i="1"/>
  <c r="D309" i="1" a="1"/>
  <c r="D309" i="1" s="1"/>
  <c r="K308" i="1"/>
  <c r="D308" i="1" a="1"/>
  <c r="D308" i="1" s="1"/>
  <c r="K307" i="1"/>
  <c r="D307" i="1" a="1"/>
  <c r="D307" i="1" s="1"/>
  <c r="K306" i="1"/>
  <c r="D306" i="1" a="1"/>
  <c r="D306" i="1" s="1"/>
  <c r="K305" i="1"/>
  <c r="D305" i="1" a="1"/>
  <c r="D305" i="1" s="1"/>
  <c r="K304" i="1"/>
  <c r="D304" i="1" a="1"/>
  <c r="D304" i="1" s="1"/>
  <c r="K303" i="1"/>
  <c r="D303" i="1" a="1"/>
  <c r="D303" i="1" s="1"/>
  <c r="K302" i="1"/>
  <c r="D302" i="1" a="1"/>
  <c r="D302" i="1" s="1"/>
  <c r="K301" i="1"/>
  <c r="D301" i="1" a="1"/>
  <c r="D301" i="1" s="1"/>
  <c r="K300" i="1"/>
  <c r="D300" i="1" a="1"/>
  <c r="D300" i="1" s="1"/>
  <c r="K299" i="1"/>
  <c r="D299" i="1" a="1"/>
  <c r="D299" i="1" s="1"/>
  <c r="K298" i="1"/>
  <c r="D298" i="1" a="1"/>
  <c r="D298" i="1" s="1"/>
  <c r="K297" i="1"/>
  <c r="D297" i="1" a="1"/>
  <c r="D297" i="1" s="1"/>
  <c r="K296" i="1"/>
  <c r="D296" i="1" a="1"/>
  <c r="D296" i="1" s="1"/>
  <c r="K295" i="1"/>
  <c r="D295" i="1" a="1"/>
  <c r="D295" i="1" s="1"/>
  <c r="K294" i="1"/>
  <c r="D294" i="1" a="1"/>
  <c r="D294" i="1" s="1"/>
  <c r="K293" i="1"/>
  <c r="D293" i="1" a="1"/>
  <c r="D293" i="1" s="1"/>
  <c r="K292" i="1"/>
  <c r="D292" i="1" a="1"/>
  <c r="D292" i="1" s="1"/>
  <c r="K291" i="1"/>
  <c r="D291" i="1" a="1"/>
  <c r="D291" i="1" s="1"/>
  <c r="K290" i="1"/>
  <c r="D290" i="1" a="1"/>
  <c r="D290" i="1" s="1"/>
  <c r="K289" i="1"/>
  <c r="D289" i="1" a="1"/>
  <c r="D289" i="1" s="1"/>
  <c r="K288" i="1"/>
  <c r="D288" i="1" a="1"/>
  <c r="D288" i="1" s="1"/>
  <c r="K287" i="1"/>
  <c r="D287" i="1" a="1"/>
  <c r="D287" i="1" s="1"/>
  <c r="K286" i="1"/>
  <c r="D286" i="1" a="1"/>
  <c r="D286" i="1" s="1"/>
  <c r="K285" i="1"/>
  <c r="D285" i="1" a="1"/>
  <c r="D285" i="1" s="1"/>
  <c r="K284" i="1"/>
  <c r="D284" i="1" a="1"/>
  <c r="D284" i="1" s="1"/>
  <c r="K283" i="1"/>
  <c r="D283" i="1" a="1"/>
  <c r="D283" i="1" s="1"/>
  <c r="K282" i="1"/>
  <c r="D282" i="1" a="1"/>
  <c r="D282" i="1" s="1"/>
  <c r="K281" i="1"/>
  <c r="D281" i="1" a="1"/>
  <c r="D281" i="1" s="1"/>
  <c r="K280" i="1"/>
  <c r="D280" i="1" a="1"/>
  <c r="D280" i="1" s="1"/>
  <c r="K279" i="1"/>
  <c r="D279" i="1" a="1"/>
  <c r="D279" i="1" s="1"/>
  <c r="K278" i="1"/>
  <c r="D278" i="1" a="1"/>
  <c r="D278" i="1" s="1"/>
  <c r="K277" i="1"/>
  <c r="D277" i="1" a="1"/>
  <c r="D277" i="1" s="1"/>
  <c r="K276" i="1"/>
  <c r="D276" i="1" a="1"/>
  <c r="D276" i="1" s="1"/>
  <c r="K275" i="1"/>
  <c r="D275" i="1" a="1"/>
  <c r="D275" i="1" s="1"/>
  <c r="K274" i="1"/>
  <c r="D274" i="1" a="1"/>
  <c r="D274" i="1" s="1"/>
  <c r="K273" i="1"/>
  <c r="D273" i="1" a="1"/>
  <c r="D273" i="1" s="1"/>
  <c r="K272" i="1"/>
  <c r="D272" i="1" a="1"/>
  <c r="D272" i="1" s="1"/>
  <c r="K271" i="1"/>
  <c r="D271" i="1" a="1"/>
  <c r="D271" i="1" s="1"/>
  <c r="K270" i="1"/>
  <c r="D270" i="1" a="1"/>
  <c r="D270" i="1" s="1"/>
  <c r="K269" i="1"/>
  <c r="D269" i="1" a="1"/>
  <c r="D269" i="1" s="1"/>
  <c r="K268" i="1"/>
  <c r="D268" i="1" a="1"/>
  <c r="D268" i="1" s="1"/>
  <c r="K267" i="1"/>
  <c r="D267" i="1" a="1"/>
  <c r="D267" i="1" s="1"/>
  <c r="K266" i="1"/>
  <c r="D266" i="1" a="1"/>
  <c r="D266" i="1" s="1"/>
  <c r="K265" i="1"/>
  <c r="D265" i="1" a="1"/>
  <c r="D265" i="1" s="1"/>
  <c r="K264" i="1"/>
  <c r="D264" i="1" a="1"/>
  <c r="D264" i="1" s="1"/>
  <c r="K263" i="1"/>
  <c r="D263" i="1" a="1"/>
  <c r="D263" i="1" s="1"/>
  <c r="K262" i="1"/>
  <c r="D262" i="1" a="1"/>
  <c r="D262" i="1" s="1"/>
  <c r="K261" i="1"/>
  <c r="D261" i="1" a="1"/>
  <c r="D261" i="1" s="1"/>
  <c r="K260" i="1"/>
  <c r="D260" i="1" a="1"/>
  <c r="D260" i="1" s="1"/>
  <c r="K259" i="1"/>
  <c r="D259" i="1" a="1"/>
  <c r="D259" i="1" s="1"/>
  <c r="K258" i="1"/>
  <c r="D258" i="1" a="1"/>
  <c r="D258" i="1" s="1"/>
  <c r="K257" i="1"/>
  <c r="D257" i="1" a="1"/>
  <c r="D257" i="1" s="1"/>
  <c r="K256" i="1"/>
  <c r="D256" i="1" a="1"/>
  <c r="D256" i="1" s="1"/>
  <c r="K255" i="1"/>
  <c r="D255" i="1" a="1"/>
  <c r="D255" i="1" s="1"/>
  <c r="K254" i="1"/>
  <c r="D254" i="1" a="1"/>
  <c r="D254" i="1" s="1"/>
  <c r="K253" i="1"/>
  <c r="D253" i="1" a="1"/>
  <c r="D253" i="1" s="1"/>
  <c r="K252" i="1"/>
  <c r="D252" i="1" a="1"/>
  <c r="D252" i="1" s="1"/>
  <c r="K251" i="1"/>
  <c r="D251" i="1" a="1"/>
  <c r="D251" i="1" s="1"/>
  <c r="K250" i="1"/>
  <c r="D250" i="1" a="1"/>
  <c r="D250" i="1" s="1"/>
  <c r="K249" i="1"/>
  <c r="D249" i="1" a="1"/>
  <c r="D249" i="1" s="1"/>
  <c r="K248" i="1"/>
  <c r="D248" i="1" a="1"/>
  <c r="D248" i="1" s="1"/>
  <c r="K247" i="1"/>
  <c r="D247" i="1" a="1"/>
  <c r="D247" i="1" s="1"/>
  <c r="K246" i="1"/>
  <c r="D246" i="1" a="1"/>
  <c r="D246" i="1" s="1"/>
  <c r="K245" i="1"/>
  <c r="D245" i="1" a="1"/>
  <c r="D245" i="1" s="1"/>
  <c r="K244" i="1"/>
  <c r="D244" i="1" a="1"/>
  <c r="D244" i="1" s="1"/>
  <c r="K243" i="1"/>
  <c r="D243" i="1" a="1"/>
  <c r="D243" i="1" s="1"/>
  <c r="K242" i="1"/>
  <c r="D242" i="1" a="1"/>
  <c r="D242" i="1" s="1"/>
  <c r="K241" i="1"/>
  <c r="D241" i="1" a="1"/>
  <c r="D241" i="1" s="1"/>
  <c r="K240" i="1"/>
  <c r="D240" i="1" a="1"/>
  <c r="D240" i="1" s="1"/>
  <c r="K239" i="1"/>
  <c r="D239" i="1" a="1"/>
  <c r="D239" i="1" s="1"/>
  <c r="K238" i="1"/>
  <c r="D238" i="1" a="1"/>
  <c r="D238" i="1" s="1"/>
  <c r="K237" i="1"/>
  <c r="D237" i="1" a="1"/>
  <c r="D237" i="1" s="1"/>
  <c r="K236" i="1"/>
  <c r="D236" i="1" a="1"/>
  <c r="D236" i="1" s="1"/>
  <c r="K235" i="1"/>
  <c r="D235" i="1" a="1"/>
  <c r="D235" i="1" s="1"/>
  <c r="K234" i="1"/>
  <c r="D234" i="1" a="1"/>
  <c r="D234" i="1" s="1"/>
  <c r="K233" i="1"/>
  <c r="D233" i="1" a="1"/>
  <c r="D233" i="1" s="1"/>
  <c r="K232" i="1"/>
  <c r="D232" i="1" a="1"/>
  <c r="D232" i="1" s="1"/>
  <c r="K231" i="1"/>
  <c r="D231" i="1" a="1"/>
  <c r="D231" i="1" s="1"/>
  <c r="K230" i="1"/>
  <c r="D230" i="1" a="1"/>
  <c r="D230" i="1" s="1"/>
  <c r="K229" i="1"/>
  <c r="D229" i="1" a="1"/>
  <c r="D229" i="1" s="1"/>
  <c r="K228" i="1"/>
  <c r="D228" i="1" a="1"/>
  <c r="D228" i="1" s="1"/>
  <c r="K227" i="1"/>
  <c r="D227" i="1" a="1"/>
  <c r="D227" i="1" s="1"/>
  <c r="K226" i="1"/>
  <c r="D226" i="1" a="1"/>
  <c r="D226" i="1" s="1"/>
  <c r="K225" i="1"/>
  <c r="D225" i="1" a="1"/>
  <c r="D225" i="1" s="1"/>
  <c r="K224" i="1"/>
  <c r="D224" i="1" a="1"/>
  <c r="D224" i="1" s="1"/>
  <c r="K223" i="1"/>
  <c r="D223" i="1" a="1"/>
  <c r="D223" i="1" s="1"/>
  <c r="K222" i="1"/>
  <c r="D222" i="1" a="1"/>
  <c r="D222" i="1" s="1"/>
  <c r="K221" i="1"/>
  <c r="D221" i="1" a="1"/>
  <c r="D221" i="1" s="1"/>
  <c r="K220" i="1"/>
  <c r="D220" i="1" a="1"/>
  <c r="D220" i="1" s="1"/>
  <c r="K219" i="1"/>
  <c r="D219" i="1" a="1"/>
  <c r="D219" i="1" s="1"/>
  <c r="K218" i="1"/>
  <c r="D218" i="1" a="1"/>
  <c r="D218" i="1" s="1"/>
  <c r="K217" i="1"/>
  <c r="D217" i="1" a="1"/>
  <c r="D217" i="1" s="1"/>
  <c r="K216" i="1"/>
  <c r="D216" i="1" a="1"/>
  <c r="D216" i="1" s="1"/>
  <c r="K215" i="1"/>
  <c r="D215" i="1" a="1"/>
  <c r="D215" i="1" s="1"/>
  <c r="K214" i="1"/>
  <c r="D214" i="1" a="1"/>
  <c r="D214" i="1" s="1"/>
  <c r="K213" i="1"/>
  <c r="D213" i="1" a="1"/>
  <c r="D213" i="1" s="1"/>
  <c r="K212" i="1"/>
  <c r="D212" i="1" a="1"/>
  <c r="D212" i="1" s="1"/>
  <c r="K211" i="1"/>
  <c r="D211" i="1" a="1"/>
  <c r="D211" i="1" s="1"/>
  <c r="K210" i="1"/>
  <c r="D210" i="1" a="1"/>
  <c r="D210" i="1" s="1"/>
  <c r="K209" i="1"/>
  <c r="D209" i="1" a="1"/>
  <c r="D209" i="1" s="1"/>
  <c r="K208" i="1"/>
  <c r="D208" i="1" a="1"/>
  <c r="D208" i="1" s="1"/>
  <c r="K207" i="1"/>
  <c r="D207" i="1" a="1"/>
  <c r="D207" i="1" s="1"/>
  <c r="K206" i="1"/>
  <c r="D206" i="1" a="1"/>
  <c r="D206" i="1" s="1"/>
  <c r="K205" i="1"/>
  <c r="D205" i="1" a="1"/>
  <c r="D205" i="1" s="1"/>
  <c r="K204" i="1"/>
  <c r="D204" i="1" a="1"/>
  <c r="D204" i="1" s="1"/>
  <c r="K203" i="1"/>
  <c r="D203" i="1" a="1"/>
  <c r="D203" i="1" s="1"/>
  <c r="K202" i="1"/>
  <c r="D202" i="1" a="1"/>
  <c r="D202" i="1" s="1"/>
  <c r="K201" i="1"/>
  <c r="D201" i="1" a="1"/>
  <c r="D201" i="1" s="1"/>
  <c r="K200" i="1"/>
  <c r="D200" i="1" a="1"/>
  <c r="D200" i="1" s="1"/>
  <c r="K199" i="1"/>
  <c r="D199" i="1" a="1"/>
  <c r="D199" i="1" s="1"/>
  <c r="K198" i="1"/>
  <c r="D198" i="1" a="1"/>
  <c r="D198" i="1" s="1"/>
  <c r="K197" i="1"/>
  <c r="D197" i="1" a="1"/>
  <c r="D197" i="1" s="1"/>
  <c r="K196" i="1"/>
  <c r="D196" i="1" a="1"/>
  <c r="D196" i="1" s="1"/>
  <c r="K195" i="1"/>
  <c r="D195" i="1" a="1"/>
  <c r="D195" i="1" s="1"/>
  <c r="K194" i="1"/>
  <c r="D194" i="1" a="1"/>
  <c r="D194" i="1" s="1"/>
  <c r="K193" i="1"/>
  <c r="D193" i="1" a="1"/>
  <c r="D193" i="1" s="1"/>
  <c r="K192" i="1"/>
  <c r="D192" i="1" a="1"/>
  <c r="D192" i="1" s="1"/>
  <c r="K191" i="1"/>
  <c r="D191" i="1" a="1"/>
  <c r="D191" i="1" s="1"/>
  <c r="K190" i="1"/>
  <c r="D190" i="1" a="1"/>
  <c r="D190" i="1" s="1"/>
  <c r="K189" i="1"/>
  <c r="D189" i="1" a="1"/>
  <c r="D189" i="1" s="1"/>
  <c r="K188" i="1"/>
  <c r="D188" i="1" a="1"/>
  <c r="D188" i="1" s="1"/>
  <c r="K187" i="1"/>
  <c r="D187" i="1" a="1"/>
  <c r="D187" i="1" s="1"/>
  <c r="K186" i="1"/>
  <c r="D186" i="1" a="1"/>
  <c r="D186" i="1" s="1"/>
  <c r="K185" i="1"/>
  <c r="D185" i="1" a="1"/>
  <c r="D185" i="1" s="1"/>
  <c r="K184" i="1"/>
  <c r="D184" i="1" a="1"/>
  <c r="D184" i="1" s="1"/>
  <c r="K183" i="1"/>
  <c r="D183" i="1" a="1"/>
  <c r="D183" i="1" s="1"/>
  <c r="K182" i="1"/>
  <c r="D182" i="1" a="1"/>
  <c r="D182" i="1" s="1"/>
  <c r="K181" i="1"/>
  <c r="D181" i="1" a="1"/>
  <c r="D181" i="1" s="1"/>
  <c r="K180" i="1"/>
  <c r="D180" i="1" a="1"/>
  <c r="D180" i="1" s="1"/>
  <c r="K179" i="1"/>
  <c r="D179" i="1" a="1"/>
  <c r="D179" i="1" s="1"/>
  <c r="K178" i="1"/>
  <c r="D178" i="1" a="1"/>
  <c r="D178" i="1" s="1"/>
  <c r="K177" i="1"/>
  <c r="D177" i="1" a="1"/>
  <c r="D177" i="1" s="1"/>
  <c r="K176" i="1"/>
  <c r="D176" i="1" a="1"/>
  <c r="D176" i="1" s="1"/>
  <c r="K175" i="1"/>
  <c r="D175" i="1" a="1"/>
  <c r="D175" i="1" s="1"/>
  <c r="K174" i="1"/>
  <c r="D174" i="1" a="1"/>
  <c r="D174" i="1" s="1"/>
  <c r="K173" i="1"/>
  <c r="D173" i="1" a="1"/>
  <c r="D173" i="1" s="1"/>
  <c r="K172" i="1"/>
  <c r="D172" i="1" a="1"/>
  <c r="D172" i="1" s="1"/>
  <c r="K171" i="1"/>
  <c r="D171" i="1" a="1"/>
  <c r="D171" i="1" s="1"/>
  <c r="K170" i="1"/>
  <c r="D170" i="1" a="1"/>
  <c r="D170" i="1" s="1"/>
  <c r="K169" i="1"/>
  <c r="D169" i="1" a="1"/>
  <c r="D169" i="1" s="1"/>
  <c r="K168" i="1"/>
  <c r="D168" i="1" a="1"/>
  <c r="D168" i="1" s="1"/>
  <c r="K167" i="1"/>
  <c r="D167" i="1" a="1"/>
  <c r="D167" i="1" s="1"/>
  <c r="K166" i="1"/>
  <c r="D166" i="1" a="1"/>
  <c r="D166" i="1" s="1"/>
  <c r="K165" i="1"/>
  <c r="D165" i="1" a="1"/>
  <c r="D165" i="1" s="1"/>
  <c r="T164" i="1"/>
  <c r="P164" i="1"/>
  <c r="K164" i="1"/>
  <c r="D164" i="1" a="1"/>
  <c r="D164" i="1" s="1"/>
  <c r="K163" i="1"/>
  <c r="D163" i="1" a="1"/>
  <c r="D163" i="1" s="1"/>
  <c r="K162" i="1"/>
  <c r="D162" i="1" a="1"/>
  <c r="D162" i="1" s="1"/>
  <c r="K161" i="1"/>
  <c r="D161" i="1" a="1"/>
  <c r="D161" i="1" s="1"/>
  <c r="K160" i="1"/>
  <c r="D160" i="1" a="1"/>
  <c r="D160" i="1" s="1"/>
  <c r="K159" i="1"/>
  <c r="D159" i="1" a="1"/>
  <c r="D159" i="1" s="1"/>
  <c r="K158" i="1"/>
  <c r="D158" i="1" a="1"/>
  <c r="D158" i="1" s="1"/>
  <c r="K157" i="1"/>
  <c r="D157" i="1" a="1"/>
  <c r="D157" i="1" s="1"/>
  <c r="K156" i="1"/>
  <c r="D156" i="1" a="1"/>
  <c r="D156" i="1" s="1"/>
  <c r="K155" i="1"/>
  <c r="D155" i="1" a="1"/>
  <c r="D155" i="1" s="1"/>
  <c r="K154" i="1"/>
  <c r="D154" i="1" a="1"/>
  <c r="D154" i="1" s="1"/>
  <c r="K153" i="1"/>
  <c r="D153" i="1" a="1"/>
  <c r="D153" i="1" s="1"/>
  <c r="K152" i="1"/>
  <c r="D152" i="1" a="1"/>
  <c r="D152" i="1" s="1"/>
  <c r="K151" i="1"/>
  <c r="D151" i="1" a="1"/>
  <c r="D151" i="1" s="1"/>
  <c r="K150" i="1"/>
  <c r="D150" i="1" a="1"/>
  <c r="D150" i="1" s="1"/>
  <c r="K149" i="1"/>
  <c r="D149" i="1" a="1"/>
  <c r="D149" i="1" s="1"/>
  <c r="K148" i="1"/>
  <c r="D148" i="1" a="1"/>
  <c r="D148" i="1" s="1"/>
  <c r="K147" i="1"/>
  <c r="D147" i="1" a="1"/>
  <c r="D147" i="1" s="1"/>
  <c r="K146" i="1"/>
  <c r="D146" i="1" a="1"/>
  <c r="D146" i="1" s="1"/>
  <c r="K145" i="1"/>
  <c r="D145" i="1" a="1"/>
  <c r="D145" i="1" s="1"/>
  <c r="K144" i="1"/>
  <c r="D144" i="1" a="1"/>
  <c r="D144" i="1" s="1"/>
  <c r="K143" i="1"/>
  <c r="D143" i="1" a="1"/>
  <c r="D143" i="1" s="1"/>
  <c r="K142" i="1"/>
  <c r="D142" i="1" a="1"/>
  <c r="D142" i="1" s="1"/>
  <c r="K141" i="1"/>
  <c r="D141" i="1" a="1"/>
  <c r="D141" i="1" s="1"/>
  <c r="K140" i="1"/>
  <c r="D140" i="1" a="1"/>
  <c r="D140" i="1" s="1"/>
  <c r="K139" i="1"/>
  <c r="D139" i="1" a="1"/>
  <c r="D139" i="1" s="1"/>
  <c r="K138" i="1"/>
  <c r="D138" i="1" a="1"/>
  <c r="D138" i="1" s="1"/>
  <c r="K137" i="1"/>
  <c r="D137" i="1" a="1"/>
  <c r="D137" i="1" s="1"/>
  <c r="K136" i="1"/>
  <c r="D136" i="1" a="1"/>
  <c r="D136" i="1" s="1"/>
  <c r="K135" i="1"/>
  <c r="D135" i="1" a="1"/>
  <c r="D135" i="1" s="1"/>
  <c r="K134" i="1"/>
  <c r="D134" i="1" a="1"/>
  <c r="D134" i="1" s="1"/>
  <c r="K133" i="1"/>
  <c r="D133" i="1" a="1"/>
  <c r="D133" i="1" s="1"/>
  <c r="K132" i="1"/>
  <c r="D132" i="1" a="1"/>
  <c r="D132" i="1" s="1"/>
  <c r="K131" i="1"/>
  <c r="D131" i="1" a="1"/>
  <c r="D131" i="1" s="1"/>
  <c r="K130" i="1"/>
  <c r="D130" i="1" a="1"/>
  <c r="D130" i="1" s="1"/>
  <c r="K129" i="1"/>
  <c r="D129" i="1" a="1"/>
  <c r="D129" i="1" s="1"/>
  <c r="K128" i="1"/>
  <c r="D128" i="1" a="1"/>
  <c r="D128" i="1" s="1"/>
  <c r="K127" i="1"/>
  <c r="D127" i="1" a="1"/>
  <c r="D127" i="1" s="1"/>
  <c r="K126" i="1"/>
  <c r="D126" i="1" a="1"/>
  <c r="D126" i="1" s="1"/>
  <c r="K125" i="1"/>
  <c r="D125" i="1" a="1"/>
  <c r="D125" i="1" s="1"/>
  <c r="K124" i="1"/>
  <c r="D124" i="1" a="1"/>
  <c r="D124" i="1" s="1"/>
  <c r="K123" i="1"/>
  <c r="D123" i="1" a="1"/>
  <c r="D123" i="1" s="1"/>
  <c r="K122" i="1"/>
  <c r="D122" i="1" a="1"/>
  <c r="D122" i="1" s="1"/>
  <c r="K121" i="1"/>
  <c r="D121" i="1" a="1"/>
  <c r="D121" i="1" s="1"/>
  <c r="K120" i="1"/>
  <c r="D120" i="1" a="1"/>
  <c r="D120" i="1" s="1"/>
  <c r="K119" i="1"/>
  <c r="D119" i="1" a="1"/>
  <c r="D119" i="1" s="1"/>
  <c r="K118" i="1"/>
  <c r="D118" i="1" a="1"/>
  <c r="D118" i="1" s="1"/>
  <c r="K117" i="1"/>
  <c r="D117" i="1" a="1"/>
  <c r="D117" i="1" s="1"/>
  <c r="K116" i="1"/>
  <c r="D116" i="1" a="1"/>
  <c r="D116" i="1" s="1"/>
  <c r="K115" i="1"/>
  <c r="D115" i="1" a="1"/>
  <c r="D115" i="1" s="1"/>
  <c r="K114" i="1"/>
  <c r="D114" i="1" a="1"/>
  <c r="D114" i="1" s="1"/>
  <c r="K113" i="1"/>
  <c r="D113" i="1" a="1"/>
  <c r="D113" i="1" s="1"/>
  <c r="K112" i="1"/>
  <c r="D112" i="1" a="1"/>
  <c r="D112" i="1" s="1"/>
  <c r="K111" i="1"/>
  <c r="D111" i="1" a="1"/>
  <c r="D111" i="1" s="1"/>
  <c r="K110" i="1"/>
  <c r="D110" i="1" a="1"/>
  <c r="D110" i="1" s="1"/>
  <c r="K109" i="1"/>
  <c r="D109" i="1" a="1"/>
  <c r="D109" i="1" s="1"/>
  <c r="K108" i="1"/>
  <c r="D108" i="1" a="1"/>
  <c r="D108" i="1" s="1"/>
  <c r="K107" i="1"/>
  <c r="D107" i="1" a="1"/>
  <c r="D107" i="1" s="1"/>
  <c r="K106" i="1"/>
  <c r="D106" i="1" a="1"/>
  <c r="D106" i="1" s="1"/>
  <c r="K105" i="1"/>
  <c r="D105" i="1" a="1"/>
  <c r="D105" i="1" s="1"/>
  <c r="K104" i="1"/>
  <c r="D104" i="1" a="1"/>
  <c r="D104" i="1" s="1"/>
  <c r="K103" i="1"/>
  <c r="D103" i="1" a="1"/>
  <c r="D103" i="1" s="1"/>
  <c r="K102" i="1"/>
  <c r="D102" i="1" a="1"/>
  <c r="D102" i="1" s="1"/>
  <c r="K101" i="1"/>
  <c r="D101" i="1" a="1"/>
  <c r="D101" i="1" s="1"/>
  <c r="K100" i="1"/>
  <c r="D100" i="1" a="1"/>
  <c r="D100" i="1" s="1"/>
  <c r="K99" i="1"/>
  <c r="D99" i="1" a="1"/>
  <c r="D99" i="1" s="1"/>
  <c r="P98" i="1"/>
  <c r="K98" i="1"/>
  <c r="D98" i="1" a="1"/>
  <c r="D98" i="1" s="1"/>
  <c r="K97" i="1"/>
  <c r="D97" i="1" a="1"/>
  <c r="D97" i="1" s="1"/>
  <c r="P96" i="1"/>
  <c r="K96" i="1"/>
  <c r="D96" i="1" a="1"/>
  <c r="D96" i="1" s="1"/>
  <c r="K95" i="1"/>
  <c r="D95" i="1" a="1"/>
  <c r="D95" i="1" s="1"/>
  <c r="K94" i="1"/>
  <c r="D94" i="1" a="1"/>
  <c r="D94" i="1" s="1"/>
  <c r="K93" i="1"/>
  <c r="D93" i="1" a="1"/>
  <c r="D93" i="1" s="1"/>
  <c r="K92" i="1"/>
  <c r="D92" i="1" a="1"/>
  <c r="D92" i="1" s="1"/>
  <c r="K91" i="1"/>
  <c r="D91" i="1" a="1"/>
  <c r="D91" i="1" s="1"/>
  <c r="K90" i="1"/>
  <c r="D90" i="1" a="1"/>
  <c r="D90" i="1" s="1"/>
  <c r="K89" i="1"/>
  <c r="D89" i="1" a="1"/>
  <c r="D89" i="1" s="1"/>
  <c r="K88" i="1"/>
  <c r="D88" i="1" a="1"/>
  <c r="D88" i="1" s="1"/>
  <c r="K87" i="1"/>
  <c r="D87" i="1" a="1"/>
  <c r="D87" i="1" s="1"/>
  <c r="K86" i="1"/>
  <c r="D86" i="1" a="1"/>
  <c r="D86" i="1" s="1"/>
  <c r="K85" i="1"/>
  <c r="D85" i="1" a="1"/>
  <c r="D85" i="1" s="1"/>
  <c r="K84" i="1"/>
  <c r="D84" i="1" a="1"/>
  <c r="D84" i="1" s="1"/>
  <c r="K83" i="1"/>
  <c r="D83" i="1" a="1"/>
  <c r="D83" i="1" s="1"/>
  <c r="K82" i="1"/>
  <c r="D82" i="1" a="1"/>
  <c r="D82" i="1" s="1"/>
  <c r="K81" i="1"/>
  <c r="D81" i="1" a="1"/>
  <c r="D81" i="1" s="1"/>
  <c r="K80" i="1"/>
  <c r="D80" i="1" a="1"/>
  <c r="D80" i="1" s="1"/>
  <c r="K79" i="1"/>
  <c r="D79" i="1" a="1"/>
  <c r="D79" i="1" s="1"/>
  <c r="K78" i="1"/>
  <c r="D78" i="1" a="1"/>
  <c r="D78" i="1" s="1"/>
  <c r="K77" i="1"/>
  <c r="D77" i="1" a="1"/>
  <c r="D77" i="1" s="1"/>
  <c r="K76" i="1"/>
  <c r="D76" i="1" a="1"/>
  <c r="D76" i="1" s="1"/>
  <c r="K75" i="1"/>
  <c r="D75" i="1" a="1"/>
  <c r="D75" i="1" s="1"/>
  <c r="K74" i="1"/>
  <c r="D74" i="1" a="1"/>
  <c r="D74" i="1" s="1"/>
  <c r="K73" i="1"/>
  <c r="D73" i="1" a="1"/>
  <c r="D73" i="1" s="1"/>
  <c r="K72" i="1"/>
  <c r="D72" i="1" a="1"/>
  <c r="D72" i="1" s="1"/>
  <c r="K71" i="1"/>
  <c r="D71" i="1" a="1"/>
  <c r="D71" i="1" s="1"/>
  <c r="K70" i="1"/>
  <c r="D70" i="1" a="1"/>
  <c r="D70" i="1" s="1"/>
  <c r="K69" i="1"/>
  <c r="D69" i="1" a="1"/>
  <c r="D69" i="1" s="1"/>
  <c r="K68" i="1"/>
  <c r="D68" i="1" a="1"/>
  <c r="D68" i="1" s="1"/>
  <c r="K67" i="1"/>
  <c r="D67" i="1" a="1"/>
  <c r="D67" i="1" s="1"/>
  <c r="K66" i="1"/>
  <c r="D66" i="1" a="1"/>
  <c r="D66" i="1" s="1"/>
  <c r="K65" i="1"/>
  <c r="D65" i="1" a="1"/>
  <c r="D65" i="1" s="1"/>
  <c r="P64" i="1"/>
  <c r="K64" i="1"/>
  <c r="D64" i="1" a="1"/>
  <c r="D64" i="1" s="1"/>
  <c r="K63" i="1"/>
  <c r="D63" i="1" a="1"/>
  <c r="D63" i="1" s="1"/>
  <c r="T62" i="1"/>
  <c r="K62" i="1"/>
  <c r="D62" i="1" a="1"/>
  <c r="D62" i="1" s="1"/>
  <c r="K61" i="1"/>
  <c r="D61" i="1" a="1"/>
  <c r="D61" i="1" s="1"/>
  <c r="K60" i="1"/>
  <c r="D60" i="1" a="1"/>
  <c r="D60" i="1" s="1"/>
  <c r="K59" i="1"/>
  <c r="D59" i="1" a="1"/>
  <c r="D59" i="1" s="1"/>
  <c r="K58" i="1"/>
  <c r="D58" i="1" a="1"/>
  <c r="D58" i="1" s="1"/>
  <c r="K57" i="1"/>
  <c r="D57" i="1" a="1"/>
  <c r="D57" i="1" s="1"/>
  <c r="K56" i="1"/>
  <c r="D56" i="1" a="1"/>
  <c r="D56" i="1" s="1"/>
  <c r="K55" i="1"/>
  <c r="D55" i="1" a="1"/>
  <c r="D55" i="1" s="1"/>
  <c r="K54" i="1"/>
  <c r="D54" i="1" a="1"/>
  <c r="D54" i="1" s="1"/>
  <c r="K53" i="1"/>
  <c r="D53" i="1" a="1"/>
  <c r="D53" i="1" s="1"/>
  <c r="K52" i="1"/>
  <c r="D52" i="1" a="1"/>
  <c r="D52" i="1" s="1"/>
  <c r="K51" i="1"/>
  <c r="D51" i="1" a="1"/>
  <c r="D51" i="1" s="1"/>
  <c r="K50" i="1"/>
  <c r="D50" i="1" a="1"/>
  <c r="D50" i="1" s="1"/>
  <c r="K49" i="1"/>
  <c r="D49" i="1" a="1"/>
  <c r="D49" i="1" s="1"/>
  <c r="P48" i="1"/>
  <c r="K48" i="1"/>
  <c r="D48" i="1" a="1"/>
  <c r="D48" i="1" s="1"/>
  <c r="K47" i="1"/>
  <c r="D47" i="1" a="1"/>
  <c r="D47" i="1" s="1"/>
  <c r="K46" i="1"/>
  <c r="D46" i="1" a="1"/>
  <c r="D46" i="1" s="1"/>
  <c r="K45" i="1"/>
  <c r="D45" i="1" a="1"/>
  <c r="D45" i="1" s="1"/>
  <c r="K44" i="1"/>
  <c r="D44" i="1" a="1"/>
  <c r="D44" i="1" s="1"/>
  <c r="P43" i="1"/>
  <c r="K43" i="1"/>
  <c r="D43" i="1" a="1"/>
  <c r="D43" i="1" s="1"/>
  <c r="K42" i="1"/>
  <c r="D42" i="1" a="1"/>
  <c r="D42" i="1" s="1"/>
  <c r="K41" i="1"/>
  <c r="D41" i="1" a="1"/>
  <c r="D41" i="1" s="1"/>
  <c r="T40" i="1"/>
  <c r="K40" i="1"/>
  <c r="D40" i="1" a="1"/>
  <c r="D40" i="1" s="1"/>
  <c r="K39" i="1"/>
  <c r="D39" i="1" a="1"/>
  <c r="D39" i="1" s="1"/>
  <c r="P38" i="1"/>
  <c r="K38" i="1"/>
  <c r="D38" i="1" a="1"/>
  <c r="D38" i="1" s="1"/>
  <c r="K37" i="1"/>
  <c r="D37" i="1" a="1"/>
  <c r="D37" i="1" s="1"/>
  <c r="T36" i="1"/>
  <c r="K36" i="1"/>
  <c r="D36" i="1" a="1"/>
  <c r="D36" i="1" s="1"/>
  <c r="K35" i="1"/>
  <c r="D35" i="1" a="1"/>
  <c r="D35" i="1" s="1"/>
  <c r="K34" i="1"/>
  <c r="D34" i="1" a="1"/>
  <c r="D34" i="1" s="1"/>
  <c r="K33" i="1"/>
  <c r="D33" i="1" a="1"/>
  <c r="D33" i="1" s="1"/>
  <c r="K32" i="1"/>
  <c r="D32" i="1" a="1"/>
  <c r="D32" i="1" s="1"/>
  <c r="K31" i="1"/>
  <c r="D31" i="1" a="1"/>
  <c r="D31" i="1" s="1"/>
  <c r="K30" i="1"/>
  <c r="D30" i="1" a="1"/>
  <c r="D30" i="1" s="1"/>
  <c r="K29" i="1"/>
  <c r="D29" i="1" a="1"/>
  <c r="D29" i="1" s="1"/>
  <c r="K28" i="1"/>
  <c r="D28" i="1" a="1"/>
  <c r="D28" i="1" s="1"/>
  <c r="K27" i="1"/>
  <c r="D27" i="1" a="1"/>
  <c r="D27" i="1" s="1"/>
  <c r="K26" i="1"/>
  <c r="D26" i="1" a="1"/>
  <c r="D26" i="1" s="1"/>
  <c r="P25" i="1"/>
  <c r="K25" i="1"/>
  <c r="D25" i="1" a="1"/>
  <c r="D25" i="1" s="1"/>
  <c r="K24" i="1"/>
  <c r="D24" i="1" a="1"/>
  <c r="D24" i="1" s="1"/>
  <c r="K23" i="1"/>
  <c r="D23" i="1" a="1"/>
  <c r="D23" i="1" s="1"/>
  <c r="P22" i="1"/>
  <c r="K22" i="1"/>
  <c r="D22" i="1" a="1"/>
  <c r="D22" i="1" s="1"/>
  <c r="P21" i="1"/>
  <c r="K21" i="1"/>
  <c r="D21" i="1" a="1"/>
  <c r="D21" i="1" s="1"/>
  <c r="K20" i="1"/>
  <c r="D20" i="1" a="1"/>
  <c r="D20" i="1" s="1"/>
  <c r="K19" i="1"/>
  <c r="D19" i="1" a="1"/>
  <c r="D19" i="1" s="1"/>
  <c r="K18" i="1"/>
  <c r="D18" i="1" a="1"/>
  <c r="D18" i="1" s="1"/>
  <c r="K17" i="1"/>
  <c r="D17" i="1" a="1"/>
  <c r="D17" i="1" s="1"/>
  <c r="K16" i="1"/>
  <c r="D16" i="1" a="1"/>
  <c r="D16" i="1" s="1"/>
  <c r="K15" i="1"/>
  <c r="D15" i="1" a="1"/>
  <c r="D15" i="1" s="1"/>
  <c r="K14" i="1"/>
  <c r="D14" i="1" a="1"/>
  <c r="D14" i="1" s="1"/>
  <c r="K13" i="1"/>
  <c r="D13" i="1" a="1"/>
  <c r="D13" i="1" s="1"/>
  <c r="K12" i="1"/>
  <c r="D12" i="1" a="1"/>
  <c r="D12" i="1" s="1"/>
  <c r="K11" i="1"/>
  <c r="D11" i="1" a="1"/>
  <c r="D11" i="1" s="1"/>
  <c r="K10" i="1"/>
  <c r="D10" i="1" a="1"/>
  <c r="D10" i="1" s="1"/>
  <c r="K9" i="1"/>
  <c r="D9" i="1" a="1"/>
  <c r="D9" i="1" s="1"/>
  <c r="K8" i="1"/>
  <c r="D8" i="1" a="1"/>
  <c r="D8" i="1" s="1"/>
  <c r="K7" i="1"/>
  <c r="D7" i="1" a="1"/>
  <c r="D7" i="1" s="1"/>
  <c r="K6" i="1"/>
  <c r="D6" i="1" a="1"/>
  <c r="D6" i="1" s="1"/>
  <c r="K5" i="1"/>
  <c r="D5" i="1" a="1"/>
  <c r="D5" i="1" s="1"/>
  <c r="K4" i="1"/>
  <c r="D4" i="1" a="1"/>
  <c r="D4" i="1" s="1"/>
  <c r="P3" i="1"/>
  <c r="K3" i="1"/>
  <c r="D3" i="1" a="1"/>
  <c r="D3" i="1" s="1"/>
  <c r="R1175" i="1" l="1"/>
  <c r="T1175" i="1" s="1"/>
  <c r="P1175" i="1"/>
  <c r="P1183" i="1"/>
  <c r="P1328" i="1"/>
  <c r="P1181" i="1"/>
  <c r="R1192" i="1"/>
  <c r="T1192" i="1" s="1"/>
  <c r="P1189" i="1"/>
  <c r="R1194" i="1"/>
  <c r="T1194" i="1" s="1"/>
  <c r="P1194" i="1"/>
  <c r="R1186" i="1"/>
  <c r="T1186" i="1" s="1"/>
  <c r="P1186" i="1"/>
  <c r="R1196" i="1"/>
  <c r="T1196" i="1" s="1"/>
  <c r="P1196" i="1"/>
  <c r="R1203" i="1"/>
  <c r="T1203" i="1" s="1"/>
  <c r="P1203" i="1"/>
  <c r="P1174" i="1"/>
  <c r="R1174" i="1"/>
  <c r="T1174" i="1" s="1"/>
  <c r="R1180" i="1"/>
  <c r="T1180" i="1" s="1"/>
  <c r="P1180" i="1"/>
  <c r="R1198" i="1"/>
  <c r="T1198" i="1" s="1"/>
  <c r="R1199" i="1"/>
  <c r="T1199" i="1" s="1"/>
  <c r="P1199" i="1"/>
  <c r="P1279" i="1"/>
  <c r="P1176" i="1"/>
  <c r="R1176" i="1"/>
  <c r="T1176" i="1" s="1"/>
  <c r="P1331" i="1"/>
  <c r="P1173" i="1"/>
  <c r="P1191" i="1"/>
  <c r="R1202" i="1"/>
  <c r="T1202" i="1" s="1"/>
  <c r="P1202" i="1"/>
  <c r="R1188" i="1"/>
  <c r="T1188" i="1" s="1"/>
  <c r="P1188" i="1"/>
  <c r="R1182" i="1"/>
  <c r="T1182" i="1" s="1"/>
  <c r="P1179" i="1"/>
  <c r="R1200" i="1"/>
  <c r="T1200" i="1" s="1"/>
  <c r="P1200" i="1"/>
  <c r="R1195" i="1"/>
  <c r="T1195" i="1" s="1"/>
  <c r="R1197" i="1"/>
  <c r="T1197" i="1" s="1"/>
  <c r="P1197" i="1"/>
  <c r="F608" i="1"/>
  <c r="R1172" i="1"/>
  <c r="T1172" i="1" s="1"/>
  <c r="P1172" i="1"/>
  <c r="E1094" i="1"/>
  <c r="D1093" i="1" a="1"/>
  <c r="D1093" i="1" s="1"/>
  <c r="R1185" i="1"/>
  <c r="T1185" i="1" s="1"/>
  <c r="P1185" i="1"/>
  <c r="R1178" i="1"/>
  <c r="T1178" i="1" s="1"/>
  <c r="P1178" i="1"/>
  <c r="R1187" i="1"/>
  <c r="T1187" i="1" s="1"/>
  <c r="P1187" i="1"/>
  <c r="R1193" i="1"/>
  <c r="T1193" i="1" s="1"/>
  <c r="P1193" i="1"/>
  <c r="P1171" i="1"/>
  <c r="R1184" i="1"/>
  <c r="T1184" i="1" s="1"/>
  <c r="R1190" i="1"/>
  <c r="T1190" i="1" s="1"/>
  <c r="R1177" i="1"/>
  <c r="T1177" i="1" s="1"/>
  <c r="P1177" i="1"/>
  <c r="R1201" i="1"/>
  <c r="T1201" i="1" s="1"/>
  <c r="P1201" i="1"/>
  <c r="F609" i="1" l="1"/>
  <c r="F723" i="1" s="1"/>
  <c r="F722" i="1"/>
  <c r="E1095" i="1"/>
  <c r="D1094" i="1" a="1"/>
  <c r="D1094" i="1" s="1"/>
  <c r="E1096" i="1" l="1"/>
  <c r="D1095" i="1" a="1"/>
  <c r="D1095" i="1" s="1"/>
  <c r="E1097" i="1" l="1"/>
  <c r="D1096" i="1" a="1"/>
  <c r="D1096" i="1" s="1"/>
  <c r="E1098" i="1" l="1"/>
  <c r="D1097" i="1" a="1"/>
  <c r="D1097" i="1" s="1"/>
  <c r="E1099" i="1" l="1"/>
  <c r="D1098" i="1" a="1"/>
  <c r="D1098" i="1" s="1"/>
  <c r="D1099" i="1" l="1" a="1"/>
  <c r="D1099" i="1" s="1"/>
  <c r="E1100" i="1"/>
  <c r="D1100" i="1" l="1" a="1"/>
  <c r="D1100" i="1" s="1"/>
  <c r="E1101" i="1"/>
  <c r="E1102" i="1" l="1"/>
  <c r="D1101" i="1" a="1"/>
  <c r="D1101" i="1" s="1"/>
  <c r="E1103" i="1" l="1"/>
  <c r="D1103" i="1" s="1" a="1"/>
  <c r="D1103" i="1" s="1"/>
  <c r="D1102" i="1" a="1"/>
  <c r="D1102" i="1" s="1"/>
</calcChain>
</file>

<file path=xl/sharedStrings.xml><?xml version="1.0" encoding="utf-8"?>
<sst xmlns="http://schemas.openxmlformats.org/spreadsheetml/2006/main" count="19208" uniqueCount="3924">
  <si>
    <t>Kode Referensi</t>
  </si>
  <si>
    <t>NAMA PERUSAHAAN</t>
  </si>
  <si>
    <t>BENTUK BADAN USAHA</t>
  </si>
  <si>
    <t>TENAGA KERJA (ORANG)</t>
  </si>
  <si>
    <t>NILAI INVESTASI (Rp)</t>
  </si>
  <si>
    <t>JENIS PRODUKSI</t>
  </si>
  <si>
    <t>BAHAN BAKU</t>
  </si>
  <si>
    <t>BAHAN BAKAR</t>
  </si>
  <si>
    <t>% PEMASARAN</t>
  </si>
  <si>
    <t>Nomor Ijin</t>
  </si>
  <si>
    <t>Kecamatan</t>
  </si>
  <si>
    <t>NAMA PRODUK</t>
  </si>
  <si>
    <t>Kapasitas Produksi</t>
  </si>
  <si>
    <t>SATUAN</t>
  </si>
  <si>
    <t>NILAI (Rp)</t>
  </si>
  <si>
    <t>JENIS</t>
  </si>
  <si>
    <t>VOLUME TERPAKAI</t>
  </si>
  <si>
    <t>NILAI BB / BP</t>
  </si>
  <si>
    <t>ASAL BB</t>
  </si>
  <si>
    <t xml:space="preserve">Jenis </t>
  </si>
  <si>
    <t>Volume</t>
  </si>
  <si>
    <t>Satuan</t>
  </si>
  <si>
    <t>lokal</t>
  </si>
  <si>
    <t>Reg</t>
  </si>
  <si>
    <t>Nas</t>
  </si>
  <si>
    <t>Ekspor</t>
  </si>
  <si>
    <t>Lk</t>
  </si>
  <si>
    <t>Pr</t>
  </si>
  <si>
    <t>Patranrejo</t>
  </si>
  <si>
    <t>Berbek</t>
  </si>
  <si>
    <t>Semi Subur PR</t>
  </si>
  <si>
    <t>Perorangan</t>
  </si>
  <si>
    <t>Rokok</t>
  </si>
  <si>
    <t>Batang</t>
  </si>
  <si>
    <t>Tembakau</t>
  </si>
  <si>
    <t>Kg</t>
  </si>
  <si>
    <t>534/152/411.504/2007</t>
  </si>
  <si>
    <t>Kacangan</t>
  </si>
  <si>
    <t>Gajah Sakti PR</t>
  </si>
  <si>
    <t>534/960/411.504/2007</t>
  </si>
  <si>
    <t>Macanan</t>
  </si>
  <si>
    <t>Loceret</t>
  </si>
  <si>
    <t>Putri Sekar Menur PR</t>
  </si>
  <si>
    <t>534/1061/411.504/2007</t>
  </si>
  <si>
    <t>Kedungdowo</t>
  </si>
  <si>
    <t>Nganjuk</t>
  </si>
  <si>
    <t>Jati Makmur</t>
  </si>
  <si>
    <t>UD</t>
  </si>
  <si>
    <t>furnitur</t>
  </si>
  <si>
    <t>Buah</t>
  </si>
  <si>
    <t>kayu</t>
  </si>
  <si>
    <t>M3</t>
  </si>
  <si>
    <t>Solar</t>
  </si>
  <si>
    <t>lIter</t>
  </si>
  <si>
    <t>Klodan</t>
  </si>
  <si>
    <t>Ngetos</t>
  </si>
  <si>
    <t>Tegar</t>
  </si>
  <si>
    <t>Kayu</t>
  </si>
  <si>
    <t>534/450/411.504/2007</t>
  </si>
  <si>
    <t>Warujayeng</t>
  </si>
  <si>
    <t>Tanjunganom</t>
  </si>
  <si>
    <t>Maju Jaya Abadi</t>
  </si>
  <si>
    <t>534/707/411.504/2007</t>
  </si>
  <si>
    <t>Ketandan</t>
  </si>
  <si>
    <t>Lengkong</t>
  </si>
  <si>
    <t>Putra Jaya</t>
  </si>
  <si>
    <t>534/961/411.504/2007</t>
  </si>
  <si>
    <t>Jl.Wilis 41</t>
  </si>
  <si>
    <t>Barokah</t>
  </si>
  <si>
    <t>m3</t>
  </si>
  <si>
    <t>534/64/411.504/2007</t>
  </si>
  <si>
    <t>Sawahan</t>
  </si>
  <si>
    <t>Moulding</t>
  </si>
  <si>
    <t>534/258/411.504/2007</t>
  </si>
  <si>
    <t>Duren</t>
  </si>
  <si>
    <t>Malindo Mandiri</t>
  </si>
  <si>
    <t>534/375/411.504/2007</t>
  </si>
  <si>
    <t>Murah</t>
  </si>
  <si>
    <t>534/446/411.504/2007</t>
  </si>
  <si>
    <t>Jl. Gub. Suryo 1/12</t>
  </si>
  <si>
    <t>Hutomo Putra</t>
  </si>
  <si>
    <t>CV</t>
  </si>
  <si>
    <t>Pupuk Organik</t>
  </si>
  <si>
    <t>Ton</t>
  </si>
  <si>
    <t>Kompos</t>
  </si>
  <si>
    <t>534/352/411.504/2007</t>
  </si>
  <si>
    <t>Werungotok</t>
  </si>
  <si>
    <t>Karya Plastindo Industri</t>
  </si>
  <si>
    <t>Biji plastik</t>
  </si>
  <si>
    <t>Plastik</t>
  </si>
  <si>
    <t>534/69/411.504/2007</t>
  </si>
  <si>
    <t>Peh Serut</t>
  </si>
  <si>
    <t>Sukomoro</t>
  </si>
  <si>
    <t>Abriantama Indosa</t>
  </si>
  <si>
    <t>Mebel logam</t>
  </si>
  <si>
    <t>Unit</t>
  </si>
  <si>
    <t>Besi</t>
  </si>
  <si>
    <t>M</t>
  </si>
  <si>
    <t>534/1295/411.504/2007</t>
  </si>
  <si>
    <t>Karya Usaha</t>
  </si>
  <si>
    <t>Bengkel</t>
  </si>
  <si>
    <t>534/878/411.504/2007</t>
  </si>
  <si>
    <t>Petak</t>
  </si>
  <si>
    <t>Bagor</t>
  </si>
  <si>
    <t>Jakarta</t>
  </si>
  <si>
    <t>534/1025/411.504/2007</t>
  </si>
  <si>
    <t>Jl. Anjuk Ladang 1</t>
  </si>
  <si>
    <t>Sederhana</t>
  </si>
  <si>
    <t>Furnitur</t>
  </si>
  <si>
    <t>534/181/411.504/2007</t>
  </si>
  <si>
    <t>Kwagean</t>
  </si>
  <si>
    <t>Sugeng Mulyo</t>
  </si>
  <si>
    <t>534/122/411.504/2007</t>
  </si>
  <si>
    <t>Gempol</t>
  </si>
  <si>
    <t>Rejoso</t>
  </si>
  <si>
    <t>Djawa Dwipa PR</t>
  </si>
  <si>
    <t>534 / 235 / 411.306 / 2010</t>
  </si>
  <si>
    <t>27 Januari 2010</t>
  </si>
  <si>
    <t>Makmur Tentrem</t>
  </si>
  <si>
    <t>534 / 1411 / 411.306 / 2010</t>
  </si>
  <si>
    <t>25 Mei 2010</t>
  </si>
  <si>
    <t>Pandan Arum PR</t>
  </si>
  <si>
    <t>534/1633/411.504/2007</t>
  </si>
  <si>
    <t>Banjarsari</t>
  </si>
  <si>
    <t>Ngronggot</t>
  </si>
  <si>
    <t>Mutiara Wilis PR</t>
  </si>
  <si>
    <t>534/1669/411.504/2007</t>
  </si>
  <si>
    <t>Juwono</t>
  </si>
  <si>
    <t>Kertosono</t>
  </si>
  <si>
    <t>Delima Satu PR</t>
  </si>
  <si>
    <t>534 / 1277 / 411.306 / 2010</t>
  </si>
  <si>
    <t>11 Mei 2010</t>
  </si>
  <si>
    <t>Kaidah Utama Bersatu PR</t>
  </si>
  <si>
    <t>534/1795/411.504/2007</t>
  </si>
  <si>
    <t>Mitra Salsabila PR</t>
  </si>
  <si>
    <t>534/1928/411.504/2007</t>
  </si>
  <si>
    <t>Ngrengket</t>
  </si>
  <si>
    <t>Sinom Mas</t>
  </si>
  <si>
    <t>11/96/07</t>
  </si>
  <si>
    <t>Katerban</t>
  </si>
  <si>
    <t>Baron</t>
  </si>
  <si>
    <t>Anugerah Jaya Motor</t>
  </si>
  <si>
    <t>Air Accu</t>
  </si>
  <si>
    <t>Liter</t>
  </si>
  <si>
    <t>Asam Sulfat</t>
  </si>
  <si>
    <t>Girirejo</t>
  </si>
  <si>
    <t>Alam Prima PR</t>
  </si>
  <si>
    <t>534/128/411.504/2007</t>
  </si>
  <si>
    <t>Pakuncen</t>
  </si>
  <si>
    <t>Patianrowo</t>
  </si>
  <si>
    <t>Al Qomar</t>
  </si>
  <si>
    <t>Anggur &amp; Sejenisnya</t>
  </si>
  <si>
    <t>Botol</t>
  </si>
  <si>
    <t>Toga</t>
  </si>
  <si>
    <t>Ngadiboyo</t>
  </si>
  <si>
    <t>Wijayanti</t>
  </si>
  <si>
    <t>Gemenggeng</t>
  </si>
  <si>
    <t>Pace</t>
  </si>
  <si>
    <t>Keluarga Mandiri</t>
  </si>
  <si>
    <t>Tepung</t>
  </si>
  <si>
    <t>Ketela</t>
  </si>
  <si>
    <t>Watudandang</t>
  </si>
  <si>
    <t>Prambon</t>
  </si>
  <si>
    <t>Ageng Mulyo</t>
  </si>
  <si>
    <t>534/1550/411.504/2006</t>
  </si>
  <si>
    <t>Babadan</t>
  </si>
  <si>
    <t>Sono Mulia jaya</t>
  </si>
  <si>
    <t>Gula Merah</t>
  </si>
  <si>
    <t>Aren</t>
  </si>
  <si>
    <t>534/2093/411.504/2006</t>
  </si>
  <si>
    <t>Kedungrejo</t>
  </si>
  <si>
    <t>Sumber Maju</t>
  </si>
  <si>
    <t>Tahu</t>
  </si>
  <si>
    <t>Kedelai</t>
  </si>
  <si>
    <t>534/1752/411.504/2006</t>
  </si>
  <si>
    <t>Cepoko</t>
  </si>
  <si>
    <t>Tombo Ati</t>
  </si>
  <si>
    <t>534/2190/411.504/2006</t>
  </si>
  <si>
    <t>Sonoageng</t>
  </si>
  <si>
    <t>Anugrah Jaya</t>
  </si>
  <si>
    <t>Krupuk</t>
  </si>
  <si>
    <t>534/1539/411.504/2006</t>
  </si>
  <si>
    <t>Sri Mulyo</t>
  </si>
  <si>
    <t>Chao</t>
  </si>
  <si>
    <t>Kw</t>
  </si>
  <si>
    <t>Daun Chao</t>
  </si>
  <si>
    <t>534/1583/411.504/2006</t>
  </si>
  <si>
    <t>Campur</t>
  </si>
  <si>
    <t>Gondang</t>
  </si>
  <si>
    <t>Damai</t>
  </si>
  <si>
    <t>Makanan Ringan</t>
  </si>
  <si>
    <t>Jagung, ketela, tepung</t>
  </si>
  <si>
    <t>534/2085/411.504/2006</t>
  </si>
  <si>
    <t>An Nushibat PR</t>
  </si>
  <si>
    <t>Btg</t>
  </si>
  <si>
    <t>534/102/411.504/2006</t>
  </si>
  <si>
    <t>Bulu</t>
  </si>
  <si>
    <t>Cahaya Terang PR</t>
  </si>
  <si>
    <t>534/222/411.504/2006</t>
  </si>
  <si>
    <t>Sidoharjo</t>
  </si>
  <si>
    <t>Berkah Abadi PR</t>
  </si>
  <si>
    <t>534 / 1638 / 411.306 / 2010</t>
  </si>
  <si>
    <t>14 Juni 2010</t>
  </si>
  <si>
    <t>Selorejo</t>
  </si>
  <si>
    <t>Khakas Reja Abadi PR</t>
  </si>
  <si>
    <t>534/576/411.504/2006</t>
  </si>
  <si>
    <t>Mangundikaran</t>
  </si>
  <si>
    <t>Lintang Jaya PR</t>
  </si>
  <si>
    <t>534/954/411.504/2006</t>
  </si>
  <si>
    <t>Gandu</t>
  </si>
  <si>
    <t>Makmur</t>
  </si>
  <si>
    <t>Stel</t>
  </si>
  <si>
    <t>Kayu Jati</t>
  </si>
  <si>
    <t>Salamrejo</t>
  </si>
  <si>
    <t>Daun Intan PR</t>
  </si>
  <si>
    <t>534 /2707 / 411.306 / 2009</t>
  </si>
  <si>
    <t>15 Desember 2009</t>
  </si>
  <si>
    <t>Sendangbumen</t>
  </si>
  <si>
    <t>Durian Mas Sejahtera PR</t>
  </si>
  <si>
    <t>534 / 227 / 411.306 / 2010</t>
  </si>
  <si>
    <t>26 Januari 2010</t>
  </si>
  <si>
    <t>Getas</t>
  </si>
  <si>
    <t>Putra Masa Depan PR</t>
  </si>
  <si>
    <t>534/1025/411.504/2008</t>
  </si>
  <si>
    <t>Kaisar Sejati PR</t>
  </si>
  <si>
    <t>534/2309/411.504/2006</t>
  </si>
  <si>
    <t>Talun</t>
  </si>
  <si>
    <t>Teguh Rahayu II</t>
  </si>
  <si>
    <t>Tegel</t>
  </si>
  <si>
    <t>M2</t>
  </si>
  <si>
    <t>Semen, Pasir</t>
  </si>
  <si>
    <t>Sak</t>
  </si>
  <si>
    <t>534/1222/411.504/2006</t>
  </si>
  <si>
    <t>Jekek</t>
  </si>
  <si>
    <t>Bakhir</t>
  </si>
  <si>
    <t>534/1425/411.504/2006</t>
  </si>
  <si>
    <t>Grojogan</t>
  </si>
  <si>
    <t>Sidomulyo</t>
  </si>
  <si>
    <t>534/153/411.504/2006</t>
  </si>
  <si>
    <t>Jetis</t>
  </si>
  <si>
    <t>Tekad Yudha Karya</t>
  </si>
  <si>
    <t>534/446/411.504/2006</t>
  </si>
  <si>
    <t>Dingin</t>
  </si>
  <si>
    <t>Jati Indah</t>
  </si>
  <si>
    <t>534/503/411.504/2006</t>
  </si>
  <si>
    <t>Balongrejo</t>
  </si>
  <si>
    <t>Firma's Sejati</t>
  </si>
  <si>
    <t>534/761/411.504/2006</t>
  </si>
  <si>
    <t>Bagorkulon</t>
  </si>
  <si>
    <t>Karno Subur</t>
  </si>
  <si>
    <t>534/2204/411.504/2006</t>
  </si>
  <si>
    <t>Sumberurip</t>
  </si>
  <si>
    <t>Kharisma Bambu</t>
  </si>
  <si>
    <t>534/547/411.504/2006</t>
  </si>
  <si>
    <t>Bengkel Las Mitra Tani</t>
  </si>
  <si>
    <t>Bengkel Las</t>
  </si>
  <si>
    <t>534/1959/411.504/2006</t>
  </si>
  <si>
    <t>Python Jaya Abadi</t>
  </si>
  <si>
    <t>Shuttlecock</t>
  </si>
  <si>
    <t>Lusin</t>
  </si>
  <si>
    <t>bulu ayam &amp; enthok</t>
  </si>
  <si>
    <t>Dus</t>
  </si>
  <si>
    <t>impor</t>
  </si>
  <si>
    <t>534 / 1194 / 411.306 / 2009</t>
  </si>
  <si>
    <t>16 Juni 2009</t>
  </si>
  <si>
    <t>Blitaran</t>
  </si>
  <si>
    <t>Bintang Jaya</t>
  </si>
  <si>
    <t>4 Juta</t>
  </si>
  <si>
    <t>Biji</t>
  </si>
  <si>
    <t>534/1586/411.504/2006</t>
  </si>
  <si>
    <t>Kuncoro Billyard</t>
  </si>
  <si>
    <t>Alat Permainan</t>
  </si>
  <si>
    <t>534/1376/411.504/2006</t>
  </si>
  <si>
    <t>Karya Logam</t>
  </si>
  <si>
    <t>534/214/411.504/2006</t>
  </si>
  <si>
    <t>Pehserut</t>
  </si>
  <si>
    <t>Kereta Api</t>
  </si>
  <si>
    <t>Kopi</t>
  </si>
  <si>
    <t>M 3</t>
  </si>
  <si>
    <t>534/1416/411.504/2008</t>
  </si>
  <si>
    <t>Gondangkulon</t>
  </si>
  <si>
    <t>Jati Agung</t>
  </si>
  <si>
    <t>534/56/411.504/2005</t>
  </si>
  <si>
    <t>Kaloran</t>
  </si>
  <si>
    <t>Bintang Utama</t>
  </si>
  <si>
    <t>Genteng</t>
  </si>
  <si>
    <t>Tanah liat</t>
  </si>
  <si>
    <t>534/119/411.504/2005</t>
  </si>
  <si>
    <t>Jati Mulyo</t>
  </si>
  <si>
    <t>534/366/411.504/2005</t>
  </si>
  <si>
    <t>Sambikerep</t>
  </si>
  <si>
    <t>Rukun Makmur</t>
  </si>
  <si>
    <t>534/408/411.504/2005</t>
  </si>
  <si>
    <t>Klagen</t>
  </si>
  <si>
    <t>Tunggal Jaya</t>
  </si>
  <si>
    <t xml:space="preserve">Kayu </t>
  </si>
  <si>
    <t>Blongko</t>
  </si>
  <si>
    <t>Citra Elga AB PR</t>
  </si>
  <si>
    <t>534/2327/411.504/2008</t>
  </si>
  <si>
    <t>Wala Abadi</t>
  </si>
  <si>
    <t>534/630/411.504/2005</t>
  </si>
  <si>
    <t>Kuncir</t>
  </si>
  <si>
    <t>Satria Wangkot</t>
  </si>
  <si>
    <t>534/740/411.504/2005</t>
  </si>
  <si>
    <t>Sarinah Furnitur</t>
  </si>
  <si>
    <t>Karya Mandiri Sentosa PR</t>
  </si>
  <si>
    <t>534/1304/411.504/2005</t>
  </si>
  <si>
    <t>Putra Andyka PR</t>
  </si>
  <si>
    <t>534/1307/411.504/2005</t>
  </si>
  <si>
    <t>Cengkok</t>
  </si>
  <si>
    <t>Bawang Mas</t>
  </si>
  <si>
    <t>534/1513/411.504/2005</t>
  </si>
  <si>
    <t>Banaran</t>
  </si>
  <si>
    <t>Kairo</t>
  </si>
  <si>
    <t>Kramat</t>
  </si>
  <si>
    <t>Irul Jaya</t>
  </si>
  <si>
    <t>534/1556/534.411/2005</t>
  </si>
  <si>
    <t>Rahayu</t>
  </si>
  <si>
    <t>534/1679/534.411/2005</t>
  </si>
  <si>
    <t>kwagean</t>
  </si>
  <si>
    <t>Sambi Mulyo</t>
  </si>
  <si>
    <t>534/1653/411.504/2008</t>
  </si>
  <si>
    <t>Cangkringan</t>
  </si>
  <si>
    <t>Kurnia Glas</t>
  </si>
  <si>
    <t>Kaca Ukir</t>
  </si>
  <si>
    <t>M 2</t>
  </si>
  <si>
    <t>Kaca</t>
  </si>
  <si>
    <t>534 / 312 / 411.306 / 2009</t>
  </si>
  <si>
    <t>Sugihwaras</t>
  </si>
  <si>
    <t>Ela Jaya</t>
  </si>
  <si>
    <t>534/1881/411.504/2006</t>
  </si>
  <si>
    <t>Ratna Jaya</t>
  </si>
  <si>
    <t xml:space="preserve">Pupuk </t>
  </si>
  <si>
    <t>534/2192/411.504/2005</t>
  </si>
  <si>
    <t>Bintang Jati</t>
  </si>
  <si>
    <t>534 / 688 / 411.306 / 2009</t>
  </si>
  <si>
    <t>Agri Sentosa Perkasa</t>
  </si>
  <si>
    <t>Pupuk Cair</t>
  </si>
  <si>
    <t>Kapur</t>
  </si>
  <si>
    <t>Singkalanyar</t>
  </si>
  <si>
    <t>Tiga Putra</t>
  </si>
  <si>
    <t>Beras</t>
  </si>
  <si>
    <t>Link. Karangrejo</t>
  </si>
  <si>
    <t>Jati Mulya</t>
  </si>
  <si>
    <t>Jogomerto</t>
  </si>
  <si>
    <t>Sinar Jeporo Dua</t>
  </si>
  <si>
    <t xml:space="preserve"> Jl. Wakhid Hasyim 312</t>
  </si>
  <si>
    <t>Bubuk Kedelai Marasake</t>
  </si>
  <si>
    <t>Koperasi</t>
  </si>
  <si>
    <t>Bubuk Kedelai</t>
  </si>
  <si>
    <t>bensin</t>
  </si>
  <si>
    <t>Jati Usada</t>
  </si>
  <si>
    <t>Bareng</t>
  </si>
  <si>
    <t>Abadi Jaya</t>
  </si>
  <si>
    <t>Minyak Atsiri</t>
  </si>
  <si>
    <t>BatangCengkeh</t>
  </si>
  <si>
    <t>534/1336/411.504/2008</t>
  </si>
  <si>
    <t>Mandiri</t>
  </si>
  <si>
    <t>Margopatut</t>
  </si>
  <si>
    <t>Kabul</t>
  </si>
  <si>
    <t>Sukorejo</t>
  </si>
  <si>
    <t>Linggar Jati</t>
  </si>
  <si>
    <t>Surya Perkasa Abadi PR</t>
  </si>
  <si>
    <t>534/1781/411.504/2007</t>
  </si>
  <si>
    <t>Mlorah</t>
  </si>
  <si>
    <t>Ciputra PR</t>
  </si>
  <si>
    <t>534 / 238 / 411.306 / 2010</t>
  </si>
  <si>
    <t>Mutu Jaya PR</t>
  </si>
  <si>
    <t>534 / 1197 / 411.306 / 2010</t>
  </si>
  <si>
    <t>5 Mei 2010</t>
  </si>
  <si>
    <t xml:space="preserve">Sidokare </t>
  </si>
  <si>
    <t>Jatah Remaja PR</t>
  </si>
  <si>
    <t>534 / 91 / 411.306 / 2010</t>
  </si>
  <si>
    <t>11 Januari 2010</t>
  </si>
  <si>
    <t>Gondanglegi</t>
  </si>
  <si>
    <t>Bawang Surya</t>
  </si>
  <si>
    <t>Kecap</t>
  </si>
  <si>
    <t>Lt</t>
  </si>
  <si>
    <t>Surya Alam</t>
  </si>
  <si>
    <t>Candirejo</t>
  </si>
  <si>
    <t>Sumber Agung</t>
  </si>
  <si>
    <t>Sandal Jepit</t>
  </si>
  <si>
    <t>Pasang</t>
  </si>
  <si>
    <t>Karet</t>
  </si>
  <si>
    <t>Sombron</t>
  </si>
  <si>
    <t>Smas Shindo Perkasa</t>
  </si>
  <si>
    <t>5 Juta</t>
  </si>
  <si>
    <t>Tanjungrejo</t>
  </si>
  <si>
    <t>Fajar Mulia PR</t>
  </si>
  <si>
    <t>534/344/411.504/2007</t>
  </si>
  <si>
    <t>Jl. DI. Panjaitan 72</t>
  </si>
  <si>
    <t>Jati Mas PR</t>
  </si>
  <si>
    <t>534/1112/411.504/2007</t>
  </si>
  <si>
    <t>Tunas Harapan</t>
  </si>
  <si>
    <t>Banjardowo</t>
  </si>
  <si>
    <t>Pelita Hasta Kencana PR</t>
  </si>
  <si>
    <t>534/2435/411.504/2008</t>
  </si>
  <si>
    <t>Pelita Hasta Kencana</t>
  </si>
  <si>
    <t>Mamin</t>
  </si>
  <si>
    <t xml:space="preserve">Tanjung </t>
  </si>
  <si>
    <t>Abi Seka</t>
  </si>
  <si>
    <t>Tepung tapioka</t>
  </si>
  <si>
    <t>Tembarak</t>
  </si>
  <si>
    <t>Sunaryo</t>
  </si>
  <si>
    <t>lbr</t>
  </si>
  <si>
    <t>Putri Azza dewi</t>
  </si>
  <si>
    <t>anggur &amp; sejenisnya</t>
  </si>
  <si>
    <t>Jati Purnomo</t>
  </si>
  <si>
    <t>Trana putra PR</t>
  </si>
  <si>
    <t>534/2190/411.504/2007</t>
  </si>
  <si>
    <t>SM. Samsu Mas PR</t>
  </si>
  <si>
    <t>534/2150/411.504/2008</t>
  </si>
  <si>
    <t>Daun Mas PR</t>
  </si>
  <si>
    <t>534/1257/411.504/2003</t>
  </si>
  <si>
    <t>Sumber windu</t>
  </si>
  <si>
    <t>Setia Agung PR</t>
  </si>
  <si>
    <t>534/452/411.504/2003</t>
  </si>
  <si>
    <t>Sido Mulyo Akor PR</t>
  </si>
  <si>
    <t>Mlilir</t>
  </si>
  <si>
    <t>Sinar Fajar PR</t>
  </si>
  <si>
    <t>534/460/411.504/2003</t>
  </si>
  <si>
    <t>Tunas Bakti PR</t>
  </si>
  <si>
    <t>kg</t>
  </si>
  <si>
    <t>534 / 1194 / 411.306 / 2010</t>
  </si>
  <si>
    <t xml:space="preserve">Jl. Monginsidi 2 </t>
  </si>
  <si>
    <t>Mangga Gandeng PR</t>
  </si>
  <si>
    <t>534 / 106 / 411.306 / 2010</t>
  </si>
  <si>
    <t>13 Januari 2010</t>
  </si>
  <si>
    <t>Jl. Letjen Suprapto 278</t>
  </si>
  <si>
    <t xml:space="preserve">Lumbung Jaya PR </t>
  </si>
  <si>
    <t>534 / 2084 / 411.306 / 2009</t>
  </si>
  <si>
    <t>2 Oktober 2009</t>
  </si>
  <si>
    <t xml:space="preserve">Ringinanom </t>
  </si>
  <si>
    <t>Cengkir Gading PR</t>
  </si>
  <si>
    <t>534/520/411.504/2008</t>
  </si>
  <si>
    <t>Jl. Jend.A.Yani 85</t>
  </si>
  <si>
    <t>Putri Sejati</t>
  </si>
  <si>
    <t xml:space="preserve">anggur &amp; sejenisnya </t>
  </si>
  <si>
    <t>m.tanah</t>
  </si>
  <si>
    <t>534/477/411.504/2008</t>
  </si>
  <si>
    <t>Subur Indah</t>
  </si>
  <si>
    <t>Jl. Gondowardoyo</t>
  </si>
  <si>
    <t>Aneka Usaha</t>
  </si>
  <si>
    <t>PD</t>
  </si>
  <si>
    <t>Percetakan</t>
  </si>
  <si>
    <t>Lembar</t>
  </si>
  <si>
    <t>Kertas</t>
  </si>
  <si>
    <t>Rim</t>
  </si>
  <si>
    <t>Sumengko</t>
  </si>
  <si>
    <t>Surabaya</t>
  </si>
  <si>
    <t>Dos</t>
  </si>
  <si>
    <t>Jl. Jend.A.Yani 290</t>
  </si>
  <si>
    <t>Kerbau Hijau PR</t>
  </si>
  <si>
    <t>Rokok SKT</t>
  </si>
  <si>
    <t xml:space="preserve">Batang </t>
  </si>
  <si>
    <t>534/1960/411.504/2006</t>
  </si>
  <si>
    <t>Jl. Jend. A. Yani 73</t>
  </si>
  <si>
    <t>Kerbau Merah PR</t>
  </si>
  <si>
    <t>534/494/411.504/2007</t>
  </si>
  <si>
    <t>Mawar Berlian</t>
  </si>
  <si>
    <t>Mie Kering</t>
  </si>
  <si>
    <t>124,5</t>
  </si>
  <si>
    <t>Jl.Yos sudarso 16 A</t>
  </si>
  <si>
    <t>Mentjo PR</t>
  </si>
  <si>
    <t xml:space="preserve">Rokok </t>
  </si>
  <si>
    <t>Jl. Pang. Sudirman 230</t>
  </si>
  <si>
    <t>Trisno Agung</t>
  </si>
  <si>
    <t>Minuman Ringan</t>
  </si>
  <si>
    <t>Krat</t>
  </si>
  <si>
    <t>Air, essence</t>
  </si>
  <si>
    <t>25625/49</t>
  </si>
  <si>
    <t>Kg/ Lt</t>
  </si>
  <si>
    <t xml:space="preserve">Jl. Diponegoro VI/7 </t>
  </si>
  <si>
    <t>R.I / Memory</t>
  </si>
  <si>
    <t>Jl. Merdeka I/1</t>
  </si>
  <si>
    <t>Luhur Jaya</t>
  </si>
  <si>
    <t>534/1936/411.504/2008</t>
  </si>
  <si>
    <t>Jl. Ronggowarsito</t>
  </si>
  <si>
    <t>Pantas</t>
  </si>
  <si>
    <t>Jl. WR. Mongonsidi 43</t>
  </si>
  <si>
    <t>Niki Echo</t>
  </si>
  <si>
    <t>Air</t>
  </si>
  <si>
    <t>Jaya Abadi</t>
  </si>
  <si>
    <t>240;600;300</t>
  </si>
  <si>
    <t>Stel;buah;M3</t>
  </si>
  <si>
    <t>Jati Agung Mulya</t>
  </si>
  <si>
    <t>Jl. Imam Bonjol 21</t>
  </si>
  <si>
    <t>Potong Hewan</t>
  </si>
  <si>
    <t>Hewan</t>
  </si>
  <si>
    <t>Jl. Ir. Juanda 40</t>
  </si>
  <si>
    <t>Juanda</t>
  </si>
  <si>
    <t>59/14</t>
  </si>
  <si>
    <t>Stel/M3</t>
  </si>
  <si>
    <t xml:space="preserve">Begadung </t>
  </si>
  <si>
    <t>Wahyu</t>
  </si>
  <si>
    <t>Jl. Imam Bonjol 123</t>
  </si>
  <si>
    <t>Tri Bakti</t>
  </si>
  <si>
    <t>60/30</t>
  </si>
  <si>
    <t>Stel/Buah</t>
  </si>
  <si>
    <t>Jl. Pang. Sudirman 153</t>
  </si>
  <si>
    <t>Borobudur</t>
  </si>
  <si>
    <t>Tegel &amp; Beton</t>
  </si>
  <si>
    <t>10000; 2500</t>
  </si>
  <si>
    <t>M2 ; buah</t>
  </si>
  <si>
    <t>Semen</t>
  </si>
  <si>
    <t>sak</t>
  </si>
  <si>
    <t>534/548/411.504/2008</t>
  </si>
  <si>
    <t>Jl. Letjen Suprapto 13</t>
  </si>
  <si>
    <t>Muji Jaya</t>
  </si>
  <si>
    <t>125/108</t>
  </si>
  <si>
    <t>M3/Stel</t>
  </si>
  <si>
    <t>Sumber Urip</t>
  </si>
  <si>
    <t>Arang Kayu</t>
  </si>
  <si>
    <t>63,5</t>
  </si>
  <si>
    <t>Gg. Jeruk 25</t>
  </si>
  <si>
    <t>Prima</t>
  </si>
  <si>
    <t>Jl. Sersan Harun 70</t>
  </si>
  <si>
    <t>Kamanda</t>
  </si>
  <si>
    <t>534/1455/411.504/2008</t>
  </si>
  <si>
    <t xml:space="preserve">Jatirejo </t>
  </si>
  <si>
    <t>Jati Langgeng Indah</t>
  </si>
  <si>
    <t>Adi Jaya</t>
  </si>
  <si>
    <t>JL. Jend.A.Yani 74</t>
  </si>
  <si>
    <t xml:space="preserve">Mulia </t>
  </si>
  <si>
    <t>Pertukangan Emas</t>
  </si>
  <si>
    <t>Gram</t>
  </si>
  <si>
    <t>Emas</t>
  </si>
  <si>
    <t>Jl. Jend.A. Yani 112</t>
  </si>
  <si>
    <t>Shinto</t>
  </si>
  <si>
    <t>Jl. A.Yani 205</t>
  </si>
  <si>
    <t>Toko Hijo</t>
  </si>
  <si>
    <t>Jl. Jend.A.Yani 4</t>
  </si>
  <si>
    <t>Pendowo</t>
  </si>
  <si>
    <t>Ploso</t>
  </si>
  <si>
    <t>Tahu Winong</t>
  </si>
  <si>
    <t>Mulur</t>
  </si>
  <si>
    <t>Darmo Soewito</t>
  </si>
  <si>
    <t>Gg. Melati 24</t>
  </si>
  <si>
    <t>Jembar</t>
  </si>
  <si>
    <t>Jl. Teuku Umar</t>
  </si>
  <si>
    <t>SHN</t>
  </si>
  <si>
    <t>14,5</t>
  </si>
  <si>
    <t>Jl. Jend.A.Yani 311</t>
  </si>
  <si>
    <t>Yani</t>
  </si>
  <si>
    <t>Jl. Gatot Subroto 37</t>
  </si>
  <si>
    <t>Bina Karya</t>
  </si>
  <si>
    <t>5750/1500</t>
  </si>
  <si>
    <t>Sak/M3</t>
  </si>
  <si>
    <t>Jati Jaya Templek</t>
  </si>
  <si>
    <t>40/150</t>
  </si>
  <si>
    <t>Jend.A.Yani</t>
  </si>
  <si>
    <t>Mulya</t>
  </si>
  <si>
    <t>Jl. Lurah Suradarmo</t>
  </si>
  <si>
    <t>Tunggul Jaya</t>
  </si>
  <si>
    <t>Mebel Logam</t>
  </si>
  <si>
    <t>Jl. Teuku Umar I/29</t>
  </si>
  <si>
    <t>Tri Waluya</t>
  </si>
  <si>
    <t>Kerep Kidul</t>
  </si>
  <si>
    <t>Rimba Jati</t>
  </si>
  <si>
    <t>534 / 1489 / 411.306 / 2009</t>
  </si>
  <si>
    <t>3 Juli 2009</t>
  </si>
  <si>
    <t xml:space="preserve">Jl. Kediri  15      </t>
  </si>
  <si>
    <t>Marlina Rahayu</t>
  </si>
  <si>
    <t>Guyangan</t>
  </si>
  <si>
    <t xml:space="preserve">Kedung Mas </t>
  </si>
  <si>
    <t>Open Tembakau</t>
  </si>
  <si>
    <t>Sekar Putih</t>
  </si>
  <si>
    <t>Jati Semi</t>
  </si>
  <si>
    <t>534 / 2104 / 411.306 / 2009</t>
  </si>
  <si>
    <t>5 Oktober 2009</t>
  </si>
  <si>
    <t>ABA</t>
  </si>
  <si>
    <t xml:space="preserve">Gempol Jati </t>
  </si>
  <si>
    <t xml:space="preserve">Jl. Raya Madiun </t>
  </si>
  <si>
    <t>Dinas</t>
  </si>
  <si>
    <t>Bak Truk</t>
  </si>
  <si>
    <t>Linda Jaya</t>
  </si>
  <si>
    <t>18720/314</t>
  </si>
  <si>
    <t>Kg/M3</t>
  </si>
  <si>
    <t>Kendalrejo</t>
  </si>
  <si>
    <t>Marem</t>
  </si>
  <si>
    <t>15,5</t>
  </si>
  <si>
    <t>Kedondong</t>
  </si>
  <si>
    <t>Karya Agung</t>
  </si>
  <si>
    <t>Perbengkelan</t>
  </si>
  <si>
    <t>Besi, Karbit</t>
  </si>
  <si>
    <t>Embun Kenanga</t>
  </si>
  <si>
    <t>Es Batu</t>
  </si>
  <si>
    <t>Air, Amoniak, garam</t>
  </si>
  <si>
    <t>Ngumpul</t>
  </si>
  <si>
    <t>Sendang Jati</t>
  </si>
  <si>
    <t>Kemaduh</t>
  </si>
  <si>
    <t>Alam Barito</t>
  </si>
  <si>
    <t>530/88</t>
  </si>
  <si>
    <t>Baru Mekar</t>
  </si>
  <si>
    <t>Basuki Jaya</t>
  </si>
  <si>
    <t>Kompor m.tanah</t>
  </si>
  <si>
    <t>Seng</t>
  </si>
  <si>
    <t>Kurnia</t>
  </si>
  <si>
    <t>55,5</t>
  </si>
  <si>
    <t>Jati Luhur</t>
  </si>
  <si>
    <t>Sumber Jati</t>
  </si>
  <si>
    <t>Semare</t>
  </si>
  <si>
    <t>Sumber Rejeki</t>
  </si>
  <si>
    <t>Penggergajian</t>
  </si>
  <si>
    <r>
      <t>M</t>
    </r>
    <r>
      <rPr>
        <vertAlign val="superscript"/>
        <sz val="8"/>
        <rFont val="Arial"/>
        <family val="2"/>
      </rPr>
      <t>3</t>
    </r>
  </si>
  <si>
    <t>106,5</t>
  </si>
  <si>
    <t>Khambali</t>
  </si>
  <si>
    <t>Suwadji</t>
  </si>
  <si>
    <t>Kuda Terbang</t>
  </si>
  <si>
    <t>Jati Arum</t>
  </si>
  <si>
    <t>Jati Wangi</t>
  </si>
  <si>
    <t>Sonopatik</t>
  </si>
  <si>
    <t>Jati Utama</t>
  </si>
  <si>
    <t>Balonggebang</t>
  </si>
  <si>
    <t>Jati Kencana</t>
  </si>
  <si>
    <t>Gondang Kulon</t>
  </si>
  <si>
    <t>Jati Kembar</t>
  </si>
  <si>
    <t>Penggergajian Kayu</t>
  </si>
  <si>
    <t>Pandean</t>
  </si>
  <si>
    <t>Karya Santosa</t>
  </si>
  <si>
    <t>Kedung Mas</t>
  </si>
  <si>
    <t>Ngujung</t>
  </si>
  <si>
    <t>Sumber Mulya</t>
  </si>
  <si>
    <t>110/15</t>
  </si>
  <si>
    <t>Stel/ M3</t>
  </si>
  <si>
    <t>36,5</t>
  </si>
  <si>
    <t>102/16</t>
  </si>
  <si>
    <t>Kasim Sumitro</t>
  </si>
  <si>
    <t>Pasiyem B</t>
  </si>
  <si>
    <t>Sumber Baru</t>
  </si>
  <si>
    <t>12,5</t>
  </si>
  <si>
    <t>Tamilan</t>
  </si>
  <si>
    <t>Sumber Rejo</t>
  </si>
  <si>
    <t xml:space="preserve">Stel </t>
  </si>
  <si>
    <t>Senggowar</t>
  </si>
  <si>
    <t xml:space="preserve">Sumber Rejeki  </t>
  </si>
  <si>
    <t>Kutorejo</t>
  </si>
  <si>
    <t>Kamari</t>
  </si>
  <si>
    <t xml:space="preserve">Tahu </t>
  </si>
  <si>
    <t>Drenges</t>
  </si>
  <si>
    <t>Pohon Kurma</t>
  </si>
  <si>
    <t xml:space="preserve">Teh hijau </t>
  </si>
  <si>
    <t>Daun</t>
  </si>
  <si>
    <t>Jl. Kenari  4 A</t>
  </si>
  <si>
    <t>Sri Rejeki</t>
  </si>
  <si>
    <t>Jl. Jend. A. Yani 38</t>
  </si>
  <si>
    <t>Sri Cahyo</t>
  </si>
  <si>
    <t>300/15</t>
  </si>
  <si>
    <t>Jl.Kusuma Bangsa 11</t>
  </si>
  <si>
    <t>Suka Putra</t>
  </si>
  <si>
    <t>27,6</t>
  </si>
  <si>
    <t>28,5</t>
  </si>
  <si>
    <t xml:space="preserve">Jl.Gadung 27             </t>
  </si>
  <si>
    <t>Hikmah</t>
  </si>
  <si>
    <t>18,5</t>
  </si>
  <si>
    <t>Garuda</t>
  </si>
  <si>
    <t>Jl. Gatot subroto 16</t>
  </si>
  <si>
    <t>Kopen Lok</t>
  </si>
  <si>
    <t>pembuatan topi laken</t>
  </si>
  <si>
    <t>Kulit</t>
  </si>
  <si>
    <t>Jl. Bengkoang  65</t>
  </si>
  <si>
    <t>Budi Agung</t>
  </si>
  <si>
    <t>Jl. Bengkoang  20 A</t>
  </si>
  <si>
    <t>A r i f</t>
  </si>
  <si>
    <t>Jl. Jend. A. yani  22</t>
  </si>
  <si>
    <t>Kilat</t>
  </si>
  <si>
    <t>Jl.Gotong Royong</t>
  </si>
  <si>
    <t>Gunung Mas</t>
  </si>
  <si>
    <t>Pengolahan Plastik Bekas</t>
  </si>
  <si>
    <t>botol plastik</t>
  </si>
  <si>
    <t>534/2369/411.504/2008</t>
  </si>
  <si>
    <t>Kudu</t>
  </si>
  <si>
    <t xml:space="preserve">Sumber Makmur </t>
  </si>
  <si>
    <t xml:space="preserve">Mekar Sari    </t>
  </si>
  <si>
    <t>Jl. Gatot Subroto 70</t>
  </si>
  <si>
    <t>Ratna</t>
  </si>
  <si>
    <t xml:space="preserve">Pertukangan Emas </t>
  </si>
  <si>
    <t>Jl. Jend. A. Yani 91</t>
  </si>
  <si>
    <t>1740/50</t>
  </si>
  <si>
    <t>M2/Buah</t>
  </si>
  <si>
    <t>84/76</t>
  </si>
  <si>
    <t>Jl. Gatot Subroto  114</t>
  </si>
  <si>
    <t xml:space="preserve">Garuda </t>
  </si>
  <si>
    <t>2610/75</t>
  </si>
  <si>
    <t>126/116</t>
  </si>
  <si>
    <t>Jl. Supriyadi  78</t>
  </si>
  <si>
    <t>Sumber Sari</t>
  </si>
  <si>
    <t>Pembotolan Susu</t>
  </si>
  <si>
    <t>Susu</t>
  </si>
  <si>
    <t>Jl. Gatot Subroto  40</t>
  </si>
  <si>
    <t xml:space="preserve">Murah </t>
  </si>
  <si>
    <t xml:space="preserve">Perbengkelan </t>
  </si>
  <si>
    <t>Oli, Karbit</t>
  </si>
  <si>
    <t>380/216</t>
  </si>
  <si>
    <t>Lt/Kg</t>
  </si>
  <si>
    <t>Jl. Bromo  11</t>
  </si>
  <si>
    <t>KTS</t>
  </si>
  <si>
    <t>Air Accu, Karbit</t>
  </si>
  <si>
    <t>570/325</t>
  </si>
  <si>
    <t>Jl. Bromo</t>
  </si>
  <si>
    <t>Tongo</t>
  </si>
  <si>
    <t xml:space="preserve">Mebel Logam </t>
  </si>
  <si>
    <t>1300/160</t>
  </si>
  <si>
    <t>365/415</t>
  </si>
  <si>
    <t>Lambang          kuning</t>
  </si>
  <si>
    <t>Masir Jaya</t>
  </si>
  <si>
    <t>Sumber Makmur</t>
  </si>
  <si>
    <t>Sumberkepuh</t>
  </si>
  <si>
    <t>Wiro Sumarto</t>
  </si>
  <si>
    <t>Ngringin</t>
  </si>
  <si>
    <t>Mulyani</t>
  </si>
  <si>
    <t>Jegrek</t>
  </si>
  <si>
    <t>Pawiro Astro</t>
  </si>
  <si>
    <t>20,8</t>
  </si>
  <si>
    <t>Matdai</t>
  </si>
  <si>
    <t>Lasidi</t>
  </si>
  <si>
    <t>17,4</t>
  </si>
  <si>
    <t>Suwadi</t>
  </si>
  <si>
    <t>Sardo</t>
  </si>
  <si>
    <t>Sakur</t>
  </si>
  <si>
    <t>Balongasem</t>
  </si>
  <si>
    <t>Musdi</t>
  </si>
  <si>
    <t>10,5</t>
  </si>
  <si>
    <t>Mardjuki</t>
  </si>
  <si>
    <t>Sardi</t>
  </si>
  <si>
    <t>Kairin</t>
  </si>
  <si>
    <t>8,75</t>
  </si>
  <si>
    <t>Abdul Kamid</t>
  </si>
  <si>
    <t>Jatipungkur</t>
  </si>
  <si>
    <t>Rustamadji</t>
  </si>
  <si>
    <t>24,5</t>
  </si>
  <si>
    <t xml:space="preserve">Ngringin,             </t>
  </si>
  <si>
    <t xml:space="preserve">Seger </t>
  </si>
  <si>
    <t>Tarmudji</t>
  </si>
  <si>
    <t>Rukun Tani</t>
  </si>
  <si>
    <t xml:space="preserve">Sawahan       </t>
  </si>
  <si>
    <t>Suhadi</t>
  </si>
  <si>
    <t>Darmo Suwito</t>
  </si>
  <si>
    <t>Sumber Karya</t>
  </si>
  <si>
    <t>7,3</t>
  </si>
  <si>
    <t>Farid</t>
  </si>
  <si>
    <t xml:space="preserve">Krupuk  </t>
  </si>
  <si>
    <t>Sumber Pangan</t>
  </si>
  <si>
    <t>Dwi Karya Jati</t>
  </si>
  <si>
    <t>Candi Baru</t>
  </si>
  <si>
    <t>Heron</t>
  </si>
  <si>
    <t>Bulu Ayam &amp; Enthog</t>
  </si>
  <si>
    <t>534 / 1600 / 411.306 / 2009</t>
  </si>
  <si>
    <t>16 Juli 2009</t>
  </si>
  <si>
    <t>Trunojoyo 61</t>
  </si>
  <si>
    <t>Pyramid</t>
  </si>
  <si>
    <t>Gunung Jati</t>
  </si>
  <si>
    <t xml:space="preserve">Penggergajian </t>
  </si>
  <si>
    <t>Bersama Subur</t>
  </si>
  <si>
    <t>Teken Glagahan</t>
  </si>
  <si>
    <t>Jodo</t>
  </si>
  <si>
    <t>Rimba Jaya</t>
  </si>
  <si>
    <t>Jatirejo</t>
  </si>
  <si>
    <t>Mustika Laras</t>
  </si>
  <si>
    <t>Gamelan</t>
  </si>
  <si>
    <t>kuningan</t>
  </si>
  <si>
    <t>Madu Laras</t>
  </si>
  <si>
    <t>Ngelan</t>
  </si>
  <si>
    <t>Lancar</t>
  </si>
  <si>
    <t>Gunung Semeru</t>
  </si>
  <si>
    <t xml:space="preserve"> Biji</t>
  </si>
  <si>
    <t>Sayangan</t>
  </si>
  <si>
    <t>Cepoko Mulyo</t>
  </si>
  <si>
    <t>Budi Jaya</t>
  </si>
  <si>
    <t>130/1464</t>
  </si>
  <si>
    <t>M3/Sak</t>
  </si>
  <si>
    <t>Sari Madu</t>
  </si>
  <si>
    <t>2160/216</t>
  </si>
  <si>
    <t>Kg/Liter</t>
  </si>
  <si>
    <t>Mungkung</t>
  </si>
  <si>
    <t>Kholik</t>
  </si>
  <si>
    <t>Mojoduwur</t>
  </si>
  <si>
    <t>Jainudin</t>
  </si>
  <si>
    <t>Anggur</t>
  </si>
  <si>
    <t>Klurahan</t>
  </si>
  <si>
    <t>Sarkam</t>
  </si>
  <si>
    <t>Mojokendil</t>
  </si>
  <si>
    <t>Sahid</t>
  </si>
  <si>
    <t>Sukur</t>
  </si>
  <si>
    <t>KL. Suka</t>
  </si>
  <si>
    <t>Ngluyu</t>
  </si>
  <si>
    <t>Tarmidi</t>
  </si>
  <si>
    <t>Open tembakau</t>
  </si>
  <si>
    <t>Gampeng</t>
  </si>
  <si>
    <t>Parlan</t>
  </si>
  <si>
    <t>Sukiran</t>
  </si>
  <si>
    <t>Bibit Rejeki</t>
  </si>
  <si>
    <t>Industri Kapur</t>
  </si>
  <si>
    <t>Batu Kapur</t>
  </si>
  <si>
    <t>Tjokrodinomo</t>
  </si>
  <si>
    <t>Sopo Nyono</t>
  </si>
  <si>
    <t>Parto</t>
  </si>
  <si>
    <t>Sugiyo</t>
  </si>
  <si>
    <t>Mulyo</t>
  </si>
  <si>
    <t>227,5</t>
  </si>
  <si>
    <t>Sumber Arum</t>
  </si>
  <si>
    <t>Bajang</t>
  </si>
  <si>
    <t>Paidin</t>
  </si>
  <si>
    <t>Joho</t>
  </si>
  <si>
    <t>Jati Kusuma</t>
  </si>
  <si>
    <t>Jati Langgeng</t>
  </si>
  <si>
    <t xml:space="preserve">M3 </t>
  </si>
  <si>
    <t>Rahayu Widodo</t>
  </si>
  <si>
    <t>Mlandangan</t>
  </si>
  <si>
    <t>Samiono</t>
  </si>
  <si>
    <t>Djamin</t>
  </si>
  <si>
    <t xml:space="preserve">Besar </t>
  </si>
  <si>
    <t>Paidjan</t>
  </si>
  <si>
    <t>Bukur</t>
  </si>
  <si>
    <t>17,5</t>
  </si>
  <si>
    <t>Widji</t>
  </si>
  <si>
    <t>Lestari</t>
  </si>
  <si>
    <t>Tanjungtani</t>
  </si>
  <si>
    <t>Baleturi</t>
  </si>
  <si>
    <t>Cipto</t>
  </si>
  <si>
    <t>Sonoagung</t>
  </si>
  <si>
    <t>Garuda Aluminium</t>
  </si>
  <si>
    <t>400/240</t>
  </si>
  <si>
    <t>Btg/Lbr</t>
  </si>
  <si>
    <t>Bandung</t>
  </si>
  <si>
    <t>Bandung Jaya</t>
  </si>
  <si>
    <t>beras</t>
  </si>
  <si>
    <t>534/1923/411.504/2008</t>
  </si>
  <si>
    <t>Setia Karya</t>
  </si>
  <si>
    <t>Sidodadi</t>
  </si>
  <si>
    <t>Kurungrejo</t>
  </si>
  <si>
    <t>Tentrem</t>
  </si>
  <si>
    <t>Sri Mulat</t>
  </si>
  <si>
    <t>Jaya Makmur</t>
  </si>
  <si>
    <t>Perhiasan Imitasi</t>
  </si>
  <si>
    <t>Dosin</t>
  </si>
  <si>
    <t>Dua Udang Istimewa</t>
  </si>
  <si>
    <t>Tirto Mulyo</t>
  </si>
  <si>
    <t>21600/40,5</t>
  </si>
  <si>
    <t>Becak Tanijaya</t>
  </si>
  <si>
    <t>14400/27</t>
  </si>
  <si>
    <t>Putra Nusantara</t>
  </si>
  <si>
    <t>Musirlor</t>
  </si>
  <si>
    <t>Dwi Makmur</t>
  </si>
  <si>
    <t>Indra Karya Indah</t>
  </si>
  <si>
    <t>Sumber Sandang</t>
  </si>
  <si>
    <t xml:space="preserve">Jati Surya </t>
  </si>
  <si>
    <t>Pamudji</t>
  </si>
  <si>
    <t>1200/400</t>
  </si>
  <si>
    <t>Buah/Stel</t>
  </si>
  <si>
    <t>Ngangkatan</t>
  </si>
  <si>
    <t>Darmawasito</t>
  </si>
  <si>
    <t>Talang</t>
  </si>
  <si>
    <t>Djaman</t>
  </si>
  <si>
    <t>Moeryadi</t>
  </si>
  <si>
    <t>Muslim</t>
  </si>
  <si>
    <t>Ponidi</t>
  </si>
  <si>
    <t>Iskalan</t>
  </si>
  <si>
    <t>Pudjito</t>
  </si>
  <si>
    <t>Kecubung</t>
  </si>
  <si>
    <t>Prima Star</t>
  </si>
  <si>
    <t>Rekaman</t>
  </si>
  <si>
    <t>Keping</t>
  </si>
  <si>
    <t>VCD</t>
  </si>
  <si>
    <t>Yupiter</t>
  </si>
  <si>
    <t>534/192/411.504/2008</t>
  </si>
  <si>
    <t>Sinar Mas</t>
  </si>
  <si>
    <t>367/186</t>
  </si>
  <si>
    <t xml:space="preserve">Karya Niaga Jaya </t>
  </si>
  <si>
    <t>550/280</t>
  </si>
  <si>
    <t xml:space="preserve">Panca Usaha </t>
  </si>
  <si>
    <t>Arang kayu</t>
  </si>
  <si>
    <t>Sutalim</t>
  </si>
  <si>
    <t>Djasmin</t>
  </si>
  <si>
    <t>Putren</t>
  </si>
  <si>
    <t>Warno</t>
  </si>
  <si>
    <t>Bulu Ayam</t>
  </si>
  <si>
    <t>Nglundo</t>
  </si>
  <si>
    <t>Vespa</t>
  </si>
  <si>
    <t>Margo Rejo</t>
  </si>
  <si>
    <t>52/100</t>
  </si>
  <si>
    <t>60/120</t>
  </si>
  <si>
    <t>Agung Jaya</t>
  </si>
  <si>
    <t>Sumber Kepuh</t>
  </si>
  <si>
    <t>Sapu Jagad</t>
  </si>
  <si>
    <t>15000/290</t>
  </si>
  <si>
    <t>Botol/Kg</t>
  </si>
  <si>
    <t>Jati Mangun Putra</t>
  </si>
  <si>
    <t>Dewi Jaya</t>
  </si>
  <si>
    <t>100/70</t>
  </si>
  <si>
    <t>Kampungbaru</t>
  </si>
  <si>
    <t xml:space="preserve">Warno </t>
  </si>
  <si>
    <t>Demangan</t>
  </si>
  <si>
    <t>Rahayu Dua</t>
  </si>
  <si>
    <t>220/115</t>
  </si>
  <si>
    <t>Sinar Jeporo</t>
  </si>
  <si>
    <t>398/46</t>
  </si>
  <si>
    <t xml:space="preserve">HDR </t>
  </si>
  <si>
    <t>Restu</t>
  </si>
  <si>
    <t>Suheri</t>
  </si>
  <si>
    <t>SHB</t>
  </si>
  <si>
    <t>Kerajinan Aluminium</t>
  </si>
  <si>
    <t>Aluminium</t>
  </si>
  <si>
    <t>Gadjah Yana</t>
  </si>
  <si>
    <t>Roti Kering</t>
  </si>
  <si>
    <t>Karya Mulya</t>
  </si>
  <si>
    <t>Musbi</t>
  </si>
  <si>
    <t>Sambirejo</t>
  </si>
  <si>
    <t>Mino Nugroho</t>
  </si>
  <si>
    <t>7,5</t>
  </si>
  <si>
    <t>Jl. Ciptomangunkusumo 2</t>
  </si>
  <si>
    <t>Mariana</t>
  </si>
  <si>
    <t>534/1392/411.504/2008</t>
  </si>
  <si>
    <t>Ngliman</t>
  </si>
  <si>
    <t>Sumarno</t>
  </si>
  <si>
    <t>Daun Cengkeh</t>
  </si>
  <si>
    <t>Sari Daun</t>
  </si>
  <si>
    <t>534/1294/411.504/2008</t>
  </si>
  <si>
    <t>Koripan</t>
  </si>
  <si>
    <t>Azis</t>
  </si>
  <si>
    <t>Subur Jati</t>
  </si>
  <si>
    <t>534/1471/411.504/2008</t>
  </si>
  <si>
    <t>Pinggir</t>
  </si>
  <si>
    <t>Dwi Agro Manunggal</t>
  </si>
  <si>
    <t>Urea</t>
  </si>
  <si>
    <t>Barokah Unggul Jaya PR</t>
  </si>
  <si>
    <t>534 / 1387 / 411.306 / 2010</t>
  </si>
  <si>
    <t>21 Mei 2010</t>
  </si>
  <si>
    <t>Kencono Wungu Grafis</t>
  </si>
  <si>
    <t>Baru Motor</t>
  </si>
  <si>
    <t>Besi, Cat</t>
  </si>
  <si>
    <t>1 ; 25</t>
  </si>
  <si>
    <t>Ton: Kg</t>
  </si>
  <si>
    <t>Jl. Bromo 11</t>
  </si>
  <si>
    <t>Tanto Utomo</t>
  </si>
  <si>
    <t>Pipa Besi</t>
  </si>
  <si>
    <t>Karya Bhakti Utama</t>
  </si>
  <si>
    <t>Rak Obat</t>
  </si>
  <si>
    <t>Kayu Sengon</t>
  </si>
  <si>
    <t>Yasjfien</t>
  </si>
  <si>
    <t>Gula, Pace</t>
  </si>
  <si>
    <t>20; 1</t>
  </si>
  <si>
    <t>Sumbersono</t>
  </si>
  <si>
    <t>Podo Trisno</t>
  </si>
  <si>
    <t>Jl. Letjen Sudibyo 22</t>
  </si>
  <si>
    <t>Toga Mulia</t>
  </si>
  <si>
    <t xml:space="preserve">Kayu Secang, Gula </t>
  </si>
  <si>
    <t>720 ; 2600</t>
  </si>
  <si>
    <t>Gebangkerep</t>
  </si>
  <si>
    <t>Prayogo</t>
  </si>
  <si>
    <t>Air, Amoniak, Garam</t>
  </si>
  <si>
    <t>Jl. Barito 25</t>
  </si>
  <si>
    <t>Bina Tani</t>
  </si>
  <si>
    <t>Pupuk Alam</t>
  </si>
  <si>
    <t>Fosfat, Kalsium</t>
  </si>
  <si>
    <t>650 ; 550</t>
  </si>
  <si>
    <t>Daun Nilam</t>
  </si>
  <si>
    <t>Mojorembun</t>
  </si>
  <si>
    <t>Legowo</t>
  </si>
  <si>
    <t>Mitta</t>
  </si>
  <si>
    <t>Nglawak</t>
  </si>
  <si>
    <t>Eka Sari</t>
  </si>
  <si>
    <t>ton</t>
  </si>
  <si>
    <t>Garu</t>
  </si>
  <si>
    <t>Universal (Bakpia)</t>
  </si>
  <si>
    <t>Terigu, Gula</t>
  </si>
  <si>
    <t>17.5 ; 17.5</t>
  </si>
  <si>
    <t>Kayu Rimba</t>
  </si>
  <si>
    <t>Sejahtera</t>
  </si>
  <si>
    <t>Sidorejo</t>
  </si>
  <si>
    <t>Putra Tunggal Persada</t>
  </si>
  <si>
    <t>AMDK</t>
  </si>
  <si>
    <t>Galon</t>
  </si>
  <si>
    <t>534/736/411.504/2008</t>
  </si>
  <si>
    <t>Jl.Merdeka Timur 12</t>
  </si>
  <si>
    <t>Barokah Abadi Record</t>
  </si>
  <si>
    <t>CD</t>
  </si>
  <si>
    <t>534/381/411.504/2008</t>
  </si>
  <si>
    <t>Unggul Lumbung Mas PR</t>
  </si>
  <si>
    <t>534 / 2388 / 411.306 / 2009</t>
  </si>
  <si>
    <t>4 Nopember 2009</t>
  </si>
  <si>
    <t>Yuhana Tanjung</t>
  </si>
  <si>
    <t>534/1201/411.504/2008</t>
  </si>
  <si>
    <t>Cendana Agung</t>
  </si>
  <si>
    <t>534/1203/411.504/2008</t>
  </si>
  <si>
    <t>Agrindo Nusantara</t>
  </si>
  <si>
    <t>Pupuk</t>
  </si>
  <si>
    <t>dolonite</t>
  </si>
  <si>
    <t>534/1281/411.504/2008</t>
  </si>
  <si>
    <t>Dipoyono 14</t>
  </si>
  <si>
    <t>Langgeng Jaya Makmur PT</t>
  </si>
  <si>
    <t>PT</t>
  </si>
  <si>
    <t>534/1822/411.504/2008</t>
  </si>
  <si>
    <t>Tekenglagahan</t>
  </si>
  <si>
    <t>Kedung Agung Iso Jaya PR</t>
  </si>
  <si>
    <t>534 / 1390 / 411.306 / 2010</t>
  </si>
  <si>
    <t>Jl. P. Sudirman I/3</t>
  </si>
  <si>
    <t>Jati Sari</t>
  </si>
  <si>
    <t>solar</t>
  </si>
  <si>
    <t>534/1432/411.504/2008</t>
  </si>
  <si>
    <t>Jl. P. Sudirman 199</t>
  </si>
  <si>
    <t>Jamu Tradisional Hitam-hitam</t>
  </si>
  <si>
    <t>534/1587/411.504/2008</t>
  </si>
  <si>
    <t>Wiji</t>
  </si>
  <si>
    <t>Citra Abadi</t>
  </si>
  <si>
    <t>Daun Nilam &amp; Cengkeh</t>
  </si>
  <si>
    <t>534/700/411.504/2008</t>
  </si>
  <si>
    <t>Putra Mandiri</t>
  </si>
  <si>
    <t>534/702/411.504/2008</t>
  </si>
  <si>
    <t>Sidomulyo Makmur</t>
  </si>
  <si>
    <t>534/1386/411.504/2008</t>
  </si>
  <si>
    <t>Nilam Selatan</t>
  </si>
  <si>
    <t>534/1435/411.504/2008</t>
  </si>
  <si>
    <t>Nilam Sari</t>
  </si>
  <si>
    <t>534/2159/411.504/2008</t>
  </si>
  <si>
    <t>Ngepung</t>
  </si>
  <si>
    <t>Surya Mebelair</t>
  </si>
  <si>
    <t>534/243/411.504/2008</t>
  </si>
  <si>
    <t xml:space="preserve">Kepanjen </t>
  </si>
  <si>
    <t>Panji Makmur PR</t>
  </si>
  <si>
    <t>534 / 2126 / 411.306 / 2009</t>
  </si>
  <si>
    <t>7 Oktober 2009</t>
  </si>
  <si>
    <t>Waung</t>
  </si>
  <si>
    <t>534/648/411.504/2008</t>
  </si>
  <si>
    <t>Tanjungkalang</t>
  </si>
  <si>
    <t>Bintang Asri</t>
  </si>
  <si>
    <t>Batu Alam</t>
  </si>
  <si>
    <t>Batu</t>
  </si>
  <si>
    <t>534/786/411.504/2008</t>
  </si>
  <si>
    <t>Pacekulon</t>
  </si>
  <si>
    <t>Risvanda</t>
  </si>
  <si>
    <t>534/1087/411.504/2008</t>
  </si>
  <si>
    <t>Bangsri</t>
  </si>
  <si>
    <t>Mitra Karya Sejahtera</t>
  </si>
  <si>
    <t>534/1104/411.504/2008</t>
  </si>
  <si>
    <t>534/1109/411.504/2008</t>
  </si>
  <si>
    <t>Link. Kujonmanis</t>
  </si>
  <si>
    <t>Gajah</t>
  </si>
  <si>
    <t>Jagung, beras</t>
  </si>
  <si>
    <t>534/1116/411.504/2008</t>
  </si>
  <si>
    <t>KH. Wakhid Hasyim 3</t>
  </si>
  <si>
    <t>Terang Fajar Utama</t>
  </si>
  <si>
    <t>Set</t>
  </si>
  <si>
    <t>534/1146/411.504/2008</t>
  </si>
  <si>
    <t>Antariksa</t>
  </si>
  <si>
    <t>534/1181/411.504/2008</t>
  </si>
  <si>
    <t>Satria Jaya</t>
  </si>
  <si>
    <t>Garam</t>
  </si>
  <si>
    <t>Air Laut</t>
  </si>
  <si>
    <t>liter</t>
  </si>
  <si>
    <t>534/1301/411.504/2008</t>
  </si>
  <si>
    <t>Wilis</t>
  </si>
  <si>
    <t>534/1515/411.504/2008</t>
  </si>
  <si>
    <t>Semi</t>
  </si>
  <si>
    <t>534/1604/411.504/2008</t>
  </si>
  <si>
    <t>An Nur</t>
  </si>
  <si>
    <t>534/1648/411.504/2008</t>
  </si>
  <si>
    <t>Indhera Mega Perkasa</t>
  </si>
  <si>
    <t>Kerajinan Bambu</t>
  </si>
  <si>
    <t>Bambu</t>
  </si>
  <si>
    <t>534/1655/411.504/2008</t>
  </si>
  <si>
    <t>Jl. Langsep 19</t>
  </si>
  <si>
    <t>Wisnu</t>
  </si>
  <si>
    <t>534/2374/411.504/2008</t>
  </si>
  <si>
    <t>Kartini PR</t>
  </si>
  <si>
    <t>534/2007/411.504/2008</t>
  </si>
  <si>
    <t>Langgeng Jati</t>
  </si>
  <si>
    <t>534/1987/411.504/2008</t>
  </si>
  <si>
    <t xml:space="preserve">Gg. Mawar </t>
  </si>
  <si>
    <t>Putra Jadi</t>
  </si>
  <si>
    <t>Bulu Enthog</t>
  </si>
  <si>
    <t>Banjaranyar</t>
  </si>
  <si>
    <t>Konveksi Sinar Jaya</t>
  </si>
  <si>
    <t>Konveksi</t>
  </si>
  <si>
    <t>Kain, benang</t>
  </si>
  <si>
    <t>Citra Givsum</t>
  </si>
  <si>
    <t>Gipsum</t>
  </si>
  <si>
    <t>Semen, Kertas</t>
  </si>
  <si>
    <t>Riobell</t>
  </si>
  <si>
    <t>534/2029/411.504/2008</t>
  </si>
  <si>
    <t>Usaha Mandiri</t>
  </si>
  <si>
    <t>534/1925/411.504/2008</t>
  </si>
  <si>
    <t>Perning</t>
  </si>
  <si>
    <t>Jatikalen</t>
  </si>
  <si>
    <t>Tiamo</t>
  </si>
  <si>
    <t>534/1916/411.504/2008</t>
  </si>
  <si>
    <t>Bina Karya Mebelair</t>
  </si>
  <si>
    <t>534/1919/411.504/2008</t>
  </si>
  <si>
    <t>Jati Songo</t>
  </si>
  <si>
    <t>534/1903/411.504/2008</t>
  </si>
  <si>
    <t>Dwi Putri</t>
  </si>
  <si>
    <t>534/2174/411.504/2008</t>
  </si>
  <si>
    <t>Abadi Puri Mulyo PR</t>
  </si>
  <si>
    <t>534 / 1709 / 411.306 / 2010</t>
  </si>
  <si>
    <t>21 Juni 2010</t>
  </si>
  <si>
    <t>Kapas</t>
  </si>
  <si>
    <t>Raja Elang</t>
  </si>
  <si>
    <t>534/2331/411.504/2008</t>
  </si>
  <si>
    <t>Gadung 14</t>
  </si>
  <si>
    <t>Sarana Tiara Mebel</t>
  </si>
  <si>
    <t>534/2333/411.504/2008</t>
  </si>
  <si>
    <t>Jl. Bengawan Solo III/4</t>
  </si>
  <si>
    <t>Marhaendri</t>
  </si>
  <si>
    <t>534/2194/411.504/2008</t>
  </si>
  <si>
    <t>Al Hikmah</t>
  </si>
  <si>
    <t xml:space="preserve">Kopi Bubuk, Susu </t>
  </si>
  <si>
    <t>7500; 27000</t>
  </si>
  <si>
    <t>Kg;Ltr</t>
  </si>
  <si>
    <t>Kopi, Kedelai</t>
  </si>
  <si>
    <t>15000;13000</t>
  </si>
  <si>
    <t>534/2448/411.504/2008</t>
  </si>
  <si>
    <t>Kembang Jati</t>
  </si>
  <si>
    <t>534/2389/411.504/2008</t>
  </si>
  <si>
    <t>Jl. Kapt. Tendean V/11</t>
  </si>
  <si>
    <t>Mata Air</t>
  </si>
  <si>
    <t xml:space="preserve">Kain, Kaos </t>
  </si>
  <si>
    <t>lembar</t>
  </si>
  <si>
    <t>534/2383/411.504/2008</t>
  </si>
  <si>
    <t>RT 2 RW 1 Ds. Mungkung Papungan</t>
  </si>
  <si>
    <t>UD Sari Murni</t>
  </si>
  <si>
    <t>Tempe</t>
  </si>
  <si>
    <t>534 / 366 / 411.306 / 2009</t>
  </si>
  <si>
    <t>24 Pebruari 2009</t>
  </si>
  <si>
    <t>Ds. Ngetos RT 6 RW 1</t>
  </si>
  <si>
    <t>UD Arr Rahmah Collection</t>
  </si>
  <si>
    <t>Seragam, kaos, topi</t>
  </si>
  <si>
    <t>534 / 367 / 411.306 / 2009</t>
  </si>
  <si>
    <t>Ds. Sumengko RT 2 RW 1</t>
  </si>
  <si>
    <t>UD Agwin Cock</t>
  </si>
  <si>
    <t>3 juta</t>
  </si>
  <si>
    <t>biji</t>
  </si>
  <si>
    <t>534 / 350 / 411.306 / 2009</t>
  </si>
  <si>
    <t>Grojokan</t>
  </si>
  <si>
    <t>UD Jati Sri Rejeki</t>
  </si>
  <si>
    <t>534 / 408 / 411.306 / 2009</t>
  </si>
  <si>
    <t>27 Pebruari 2009</t>
  </si>
  <si>
    <t>Ds. Sumengko RT 1 RW 2</t>
  </si>
  <si>
    <t>UD Bintang Sport</t>
  </si>
  <si>
    <t>5.5 juta</t>
  </si>
  <si>
    <t>534 / 609 / 411.306 / 2009</t>
  </si>
  <si>
    <t>23 Maret 2009</t>
  </si>
  <si>
    <t>Ds. Klodan RT 3 RW 7</t>
  </si>
  <si>
    <t>UD Hamam Putra</t>
  </si>
  <si>
    <t>534 / 647 / 411.306 / 2009</t>
  </si>
  <si>
    <t>27 Maret 2009</t>
  </si>
  <si>
    <t>Ds. Ngrami</t>
  </si>
  <si>
    <t>CV Multi Tunas Mandiri</t>
  </si>
  <si>
    <t>pupuk organik</t>
  </si>
  <si>
    <t>534 / 677 / 411.306 / 2009</t>
  </si>
  <si>
    <t>Ds. Margopatut</t>
  </si>
  <si>
    <t>UD Andika Sari</t>
  </si>
  <si>
    <t>534 / 839 / 411.306 / 2009</t>
  </si>
  <si>
    <t>30 Maret 2009</t>
  </si>
  <si>
    <t>Ds. Dukuhan Kuncir</t>
  </si>
  <si>
    <t>PR Preng Kuneng</t>
  </si>
  <si>
    <t>534 / 1103 / 411.306 / 2009</t>
  </si>
  <si>
    <t>15 Juni 2009</t>
  </si>
  <si>
    <t>Ds. Tungkur Ngadipiro</t>
  </si>
  <si>
    <t>Wilangan</t>
  </si>
  <si>
    <t>UD Kerja Sama</t>
  </si>
  <si>
    <t>534 / 1289 / 411.306 / 2009</t>
  </si>
  <si>
    <t>17 Juni 2009</t>
  </si>
  <si>
    <t>Ds. Miren Sidoharjo</t>
  </si>
  <si>
    <t>CV Jayeng Rono</t>
  </si>
  <si>
    <t>534 / 1488 / 411.306 / 2009</t>
  </si>
  <si>
    <t>Jl.Diponegoro VI/7,Ganingkidul</t>
  </si>
  <si>
    <t>UD Memory</t>
  </si>
  <si>
    <t>22 juta</t>
  </si>
  <si>
    <t>534 / 1481 / 411.306 / 2009</t>
  </si>
  <si>
    <t>Ds. Sombron RT 1 RW 2</t>
  </si>
  <si>
    <t>UD Rizky Agung</t>
  </si>
  <si>
    <t>2 juta</t>
  </si>
  <si>
    <t>534 / 1580 / 411.306 / 2009</t>
  </si>
  <si>
    <t>15 Juli 2009</t>
  </si>
  <si>
    <t>Ds. Sekar putih</t>
  </si>
  <si>
    <t>UD Gunung Mulia</t>
  </si>
  <si>
    <t>534 / 1638 / 411.306 / 2009</t>
  </si>
  <si>
    <t>24 Juli 2009</t>
  </si>
  <si>
    <t>Ds. Kemukus Ngliman</t>
  </si>
  <si>
    <t>UD Sendang Sari</t>
  </si>
  <si>
    <t>534 / 1761 / 411.306 / 2009</t>
  </si>
  <si>
    <t>10 Agustus 2009</t>
  </si>
  <si>
    <t>Ds. Warujayeng</t>
  </si>
  <si>
    <t>UD Atma Jaya</t>
  </si>
  <si>
    <t>534 / 1881 / 411.306 / 2009</t>
  </si>
  <si>
    <t>Gedangklutuk,RT 3 RW 4</t>
  </si>
  <si>
    <t>UD Harapan Madu Jaya</t>
  </si>
  <si>
    <t>534 / 1905 / 411.306 / 2009</t>
  </si>
  <si>
    <t>Ds. Sumengko</t>
  </si>
  <si>
    <t>UD Abadi Shuttlecock</t>
  </si>
  <si>
    <t>18 juta</t>
  </si>
  <si>
    <t>534 / 1929 / 411.306 / 2009</t>
  </si>
  <si>
    <t>Ds. Kapas</t>
  </si>
  <si>
    <t>Wilis Tailor &amp; Konveksi</t>
  </si>
  <si>
    <t>potong</t>
  </si>
  <si>
    <t>tekstil</t>
  </si>
  <si>
    <t>534 / 1926 / 411.306 / 2009</t>
  </si>
  <si>
    <t>UD Ridho Riszki</t>
  </si>
  <si>
    <t>534 / 1937 / 411.306 / 2009</t>
  </si>
  <si>
    <t>Ds. Batu Margopatut</t>
  </si>
  <si>
    <t>UD KARYA MANDIRI</t>
  </si>
  <si>
    <t>534 / 2010 / 411.306 / 2009</t>
  </si>
  <si>
    <t>Ds. Badingin Sukorejo</t>
  </si>
  <si>
    <t>UD Nusa</t>
  </si>
  <si>
    <t>1 juta</t>
  </si>
  <si>
    <t>534 / 2122 / 411.306 / 2009</t>
  </si>
  <si>
    <t>7 Oktopber 2009</t>
  </si>
  <si>
    <t>Ds. Semek Bukur</t>
  </si>
  <si>
    <t>UD Sinar Harapan</t>
  </si>
  <si>
    <t>534 / 2251 / 411.306 / 2009</t>
  </si>
  <si>
    <t>21 Oktober 2009</t>
  </si>
  <si>
    <t>Jl.P.Sudirman 170,Mangundikaran,</t>
  </si>
  <si>
    <t>UD Putra Cipta</t>
  </si>
  <si>
    <t>534 / 2406 / 411.306 / 2009</t>
  </si>
  <si>
    <t>9 Nopember 2009</t>
  </si>
  <si>
    <t>Ds. Candirejo</t>
  </si>
  <si>
    <t>CV Anugrah Jaya Subur</t>
  </si>
  <si>
    <t>534 / 2500 / 411.306 / 2009</t>
  </si>
  <si>
    <t>18 Nopember 2009</t>
  </si>
  <si>
    <t>Ds. Mangundikaran</t>
  </si>
  <si>
    <t>Toko Tani Jaya</t>
  </si>
  <si>
    <t>pengemasan perekat pupuk</t>
  </si>
  <si>
    <t>Lem</t>
  </si>
  <si>
    <t>534 / 2546 / 411.306 / 2009</t>
  </si>
  <si>
    <t>24 Nopember 2009</t>
  </si>
  <si>
    <t>Ds. Bagorkulon</t>
  </si>
  <si>
    <t>UD Konveksi</t>
  </si>
  <si>
    <t>pakaian jadi</t>
  </si>
  <si>
    <t>534 / 2612 / 411.306 / 2009</t>
  </si>
  <si>
    <t>3 Desember 2009</t>
  </si>
  <si>
    <t>Ds. Kampungbaru</t>
  </si>
  <si>
    <t>Rizky Putra Wood Art &amp; Souvenir Ind</t>
  </si>
  <si>
    <t>kerajinan tangan</t>
  </si>
  <si>
    <t>534 / 2639 / 411.306 / 2009</t>
  </si>
  <si>
    <t>8 Desember 2009</t>
  </si>
  <si>
    <t>Perum Pondok Kencana D/2,Werungotok</t>
  </si>
  <si>
    <t>UD Makmur</t>
  </si>
  <si>
    <t>Pengemasan MSG</t>
  </si>
  <si>
    <t>kwintal</t>
  </si>
  <si>
    <t>plastik</t>
  </si>
  <si>
    <t>534 / 2714 / 411.306 / 2009</t>
  </si>
  <si>
    <t>17 Desember 2009</t>
  </si>
  <si>
    <t>Ds. Lestari</t>
  </si>
  <si>
    <t>Kue Ku</t>
  </si>
  <si>
    <t>534 / 2768 / 411.306 / 2009</t>
  </si>
  <si>
    <t>29 Desember 2009</t>
  </si>
  <si>
    <t>Ds.Selorejo</t>
  </si>
  <si>
    <t>CV Makmur Jaya</t>
  </si>
  <si>
    <t>534 / 2785 / 411.306 / 2009</t>
  </si>
  <si>
    <t>Ds. Tanjungkalang</t>
  </si>
  <si>
    <t>CV Dhamma jaya Abadi</t>
  </si>
  <si>
    <t>534 / 2310 / 411.306 / 2009</t>
  </si>
  <si>
    <t>27 Oktober 2009</t>
  </si>
  <si>
    <t>Jl. Hos Cokroaminoto 2 Kauman</t>
  </si>
  <si>
    <t>CV Mitra Sahajaya</t>
  </si>
  <si>
    <t>534 / 2482 / 411.306 / 2009</t>
  </si>
  <si>
    <t>16 Desember 2009</t>
  </si>
  <si>
    <t>Ds. Sukoharjo RT 19 RW 9</t>
  </si>
  <si>
    <t>UD FIT Furniture</t>
  </si>
  <si>
    <t>furnitur (Bantal guling, Kasur dan Mebeler)</t>
  </si>
  <si>
    <t>180.000.000</t>
  </si>
  <si>
    <t>Busa+dakron,matras,kayu</t>
  </si>
  <si>
    <t>2000/80/80</t>
  </si>
  <si>
    <t>unit</t>
  </si>
  <si>
    <t>34.000.000/100.000.000/80.000.000</t>
  </si>
  <si>
    <t>511.3 / 849 / 411.504 / 2008</t>
  </si>
  <si>
    <t>7 januari 2008</t>
  </si>
  <si>
    <t xml:space="preserve">Jl. Barito 108,Begadung </t>
  </si>
  <si>
    <t>UD Jati Noor</t>
  </si>
  <si>
    <t>534 / 110 / 411.306 / 2009</t>
  </si>
  <si>
    <t>10 Pebruari 2009</t>
  </si>
  <si>
    <t>Sudimoroharjo,</t>
  </si>
  <si>
    <t>UD Jati Murni</t>
  </si>
  <si>
    <t>534 / 254 / 411.306 / 2009</t>
  </si>
  <si>
    <t>16 Pebruari 2009</t>
  </si>
  <si>
    <t>UD Karya Usaha Indah</t>
  </si>
  <si>
    <t>534 / 257 / 411.306 / 2009</t>
  </si>
  <si>
    <t>Ds. Sukoharjo</t>
  </si>
  <si>
    <t>UD Puji Lestari</t>
  </si>
  <si>
    <t>534 / 606 / 411.306 / 2009</t>
  </si>
  <si>
    <t>20 Maret 2009</t>
  </si>
  <si>
    <t>Dsn Jagong</t>
  </si>
  <si>
    <t>UD Langgeng</t>
  </si>
  <si>
    <t>534 /1304 / 411.306 / 2009</t>
  </si>
  <si>
    <t>18 Juni 2009</t>
  </si>
  <si>
    <t>Ds. Tampag</t>
  </si>
  <si>
    <t>UD Jati Karya</t>
  </si>
  <si>
    <t>534 / 1280 / 411.306 / 2009</t>
  </si>
  <si>
    <t>Burung Merpati PR</t>
  </si>
  <si>
    <t>534 / 1685 / 411.306 / 2009</t>
  </si>
  <si>
    <t>31 Juli 2009</t>
  </si>
  <si>
    <t>Jatigreges</t>
  </si>
  <si>
    <t>Kota Angin PR</t>
  </si>
  <si>
    <t>534 / 1688/ 411.306 / 2009</t>
  </si>
  <si>
    <t>Jl. Semeru 109,Sukorejo</t>
  </si>
  <si>
    <t>UD Almina</t>
  </si>
  <si>
    <t>534 / 1844 / 411.306 / 2009</t>
  </si>
  <si>
    <t>26 Agustus 2009</t>
  </si>
  <si>
    <t>Jl.Letjen Suprapto 5,Kudu</t>
  </si>
  <si>
    <t>SANGGAR UKIR KUDU</t>
  </si>
  <si>
    <t>Kerajinan ukir kayu</t>
  </si>
  <si>
    <t>SET</t>
  </si>
  <si>
    <t>534 / 33 / 411.306 / 2010</t>
  </si>
  <si>
    <t>7 Januari 2010</t>
  </si>
  <si>
    <t>UD REXA POLYMER PERKASA</t>
  </si>
  <si>
    <t>534 / 381 / 411.306 / 2010</t>
  </si>
  <si>
    <t>5 Pebruari 2010</t>
  </si>
  <si>
    <t>Jenangan,RT 1 RW 6,Margopatut</t>
  </si>
  <si>
    <t>UD MARGO INDAH</t>
  </si>
  <si>
    <t>534 / 70 / 411.306 / 2010</t>
  </si>
  <si>
    <t>Pugruk,Tanjungrejo</t>
  </si>
  <si>
    <t>UD BAROKAH</t>
  </si>
  <si>
    <t>slop shuttlecock</t>
  </si>
  <si>
    <t>shuttlecock</t>
  </si>
  <si>
    <t>534 / 243 / 411.306 / 2010</t>
  </si>
  <si>
    <t>Jl.Bengawan Solo,Ringinanom,</t>
  </si>
  <si>
    <t>CV MANSURIN</t>
  </si>
  <si>
    <t>Pengemasan Oli</t>
  </si>
  <si>
    <t>oli</t>
  </si>
  <si>
    <t>534 / 334 / 411.306 / 2010</t>
  </si>
  <si>
    <t>3 Pebruari 2010</t>
  </si>
  <si>
    <t>Dsn.Grompol,Tanjungtani</t>
  </si>
  <si>
    <t>UD SAFA'AT</t>
  </si>
  <si>
    <t>Kantong plastik</t>
  </si>
  <si>
    <t>534 / 510 / 411.306 / 2010</t>
  </si>
  <si>
    <t>23 februari 2010</t>
  </si>
  <si>
    <t>Jl.Gubernur Suryo I No. 3,Kauman</t>
  </si>
  <si>
    <t>UD SURYA JAYA GROUP</t>
  </si>
  <si>
    <t>534 / 531 / 411.306 / 2010</t>
  </si>
  <si>
    <t>23 Februari 2010</t>
  </si>
  <si>
    <t>Dsn.Duwel,Jegreg</t>
  </si>
  <si>
    <t>UD GAYUH PUTRA MANDIRI</t>
  </si>
  <si>
    <t>534 / 565 / 411.306 / 2010</t>
  </si>
  <si>
    <t>1 Maret 2010</t>
  </si>
  <si>
    <t>Jl. Megantoro 8</t>
  </si>
  <si>
    <t>CV BONUS</t>
  </si>
  <si>
    <t>Rambu lalin &amp; cat marka</t>
  </si>
  <si>
    <t xml:space="preserve">75 buah, 50 ton </t>
  </si>
  <si>
    <t>534 / 659 / 411.306 / 2010</t>
  </si>
  <si>
    <t>11 Maret 2010</t>
  </si>
  <si>
    <t>Dsn.Semek,RT 1 RW 2,Bukur</t>
  </si>
  <si>
    <t>UD RINDANG MAKMUR</t>
  </si>
  <si>
    <t>534 / 758 / 411.306 / 2010</t>
  </si>
  <si>
    <t>22 Maret 2010</t>
  </si>
  <si>
    <t>Jl.Gotong royong,Ds.Babadan</t>
  </si>
  <si>
    <t>RIZKA RISWANA MEBEL</t>
  </si>
  <si>
    <t>534 / 767 / 411.306 / 2010</t>
  </si>
  <si>
    <t>23 Maret 2010</t>
  </si>
  <si>
    <t>Tremas,ngepung</t>
  </si>
  <si>
    <t>UD RIDHO SAHABAT</t>
  </si>
  <si>
    <t>534 / 764 / 411.306 / 2010</t>
  </si>
  <si>
    <t>Jl.Alpokat,Mlandangan,</t>
  </si>
  <si>
    <t>RUKUN SENTOSA MEBEL</t>
  </si>
  <si>
    <t>534 / 770 / 411.306 / 2010</t>
  </si>
  <si>
    <t>Dsn. Sumbertumpeng,Margopatut</t>
  </si>
  <si>
    <t>CV LEMBAH HARUM</t>
  </si>
  <si>
    <t>534 / 865 / 411.306 / 2010</t>
  </si>
  <si>
    <t>5 April 2010</t>
  </si>
  <si>
    <t>Sudimoroharjo</t>
  </si>
  <si>
    <t>UD BERINGIN SAKTI</t>
  </si>
  <si>
    <t>534 / 888 / 411.306 / 2010</t>
  </si>
  <si>
    <t>7 April 2010</t>
  </si>
  <si>
    <t>Dsn.Semek kerep,Bukur</t>
  </si>
  <si>
    <t>UD WARAS BAROKAH</t>
  </si>
  <si>
    <t>534 / 903 / 411.306 / 2010</t>
  </si>
  <si>
    <t>Perum Candirejo Blok.GG/10,Gejagan</t>
  </si>
  <si>
    <t>BATIK NUSANTARA INDAH</t>
  </si>
  <si>
    <t>Batik Tulis</t>
  </si>
  <si>
    <t>m</t>
  </si>
  <si>
    <t>kain, kaos, peci</t>
  </si>
  <si>
    <t>spirtus</t>
  </si>
  <si>
    <t>534 / 987 / 411.306 / 2010</t>
  </si>
  <si>
    <t>14 April 2010</t>
  </si>
  <si>
    <t>MEUBEL JEPARA INDAH</t>
  </si>
  <si>
    <t>534 / 1033 / 411.306 / 2010</t>
  </si>
  <si>
    <t>21 April 2010</t>
  </si>
  <si>
    <t>Dsn.Beran,Tanjungrejo</t>
  </si>
  <si>
    <t>UD ADI RAYA MEUBEL</t>
  </si>
  <si>
    <t>535 / 1059 / 411.306 / 2010</t>
  </si>
  <si>
    <t>22 April 2010</t>
  </si>
  <si>
    <t>UD RESTU MEUBEL</t>
  </si>
  <si>
    <t>535 / 1054 / 411.306 / 2010</t>
  </si>
  <si>
    <t>Dsn. Bulak,Tirtobinangun</t>
  </si>
  <si>
    <t>UD LINTAR JAYA</t>
  </si>
  <si>
    <t>534 / 1156 / 411.306 / 2010</t>
  </si>
  <si>
    <t>3 Mei 2010</t>
  </si>
  <si>
    <t>CV BAROKAH ABADI JAYA</t>
  </si>
  <si>
    <t>Pecah batu</t>
  </si>
  <si>
    <t>534 / 1191 / 411.306 / 2010</t>
  </si>
  <si>
    <t>Ds. / Kec. Sawahan</t>
  </si>
  <si>
    <t>UD PANGAN SARI</t>
  </si>
  <si>
    <t>534 / 1268 / 411.306 / 2010</t>
  </si>
  <si>
    <t>RT 02 RW 06, Kel./ Kec. Sukomoro</t>
  </si>
  <si>
    <t>CV ARTY MANUNGGAL</t>
  </si>
  <si>
    <t>534 / 1326 / 411.306 / 2010</t>
  </si>
  <si>
    <t>17 Mei 2010</t>
  </si>
  <si>
    <t>Jl. Sutoyo, Dsn. Ngelon</t>
  </si>
  <si>
    <t>CV SUMBER REJEKI JAYA</t>
  </si>
  <si>
    <t>buah</t>
  </si>
  <si>
    <t>534 / 1371 / 411.306 / 2010</t>
  </si>
  <si>
    <t>19 Mei 2010</t>
  </si>
  <si>
    <t>Ds. Paron</t>
  </si>
  <si>
    <t>CV RIDHO ILLAHI</t>
  </si>
  <si>
    <t>535 / 1401 / 411.306 / 2010</t>
  </si>
  <si>
    <t>Pojok Tanjung Kalang</t>
  </si>
  <si>
    <t>UD PESONA KARYA</t>
  </si>
  <si>
    <t>535 / 1423 / 411.306 / 2010</t>
  </si>
  <si>
    <t xml:space="preserve">Dsn. Barik, Ds. Betet </t>
  </si>
  <si>
    <t>UD AVIS MEBEL</t>
  </si>
  <si>
    <t>535 / 1426 / 411.306 / 2010</t>
  </si>
  <si>
    <t xml:space="preserve">Jl. Jaya Putra RT 06 RW 03 Bagor </t>
  </si>
  <si>
    <t>UD ANGGA</t>
  </si>
  <si>
    <t>Telur Asin</t>
  </si>
  <si>
    <t>Telur</t>
  </si>
  <si>
    <t>534 / 1564 / 411.306 / 2010</t>
  </si>
  <si>
    <t>4 Juni 2010</t>
  </si>
  <si>
    <t xml:space="preserve">Jl. Sumatra, Dsn. Pesantren RT 11 </t>
  </si>
  <si>
    <t>UD ARGO FAJAR TAMMA</t>
  </si>
  <si>
    <t>Jamur &amp; baclog</t>
  </si>
  <si>
    <t>Jamur</t>
  </si>
  <si>
    <t>botol</t>
  </si>
  <si>
    <t>534 / 1567 / 411.306 / 2010</t>
  </si>
  <si>
    <t>Jl. Sumatra RT 11 RW 04, Ds. Bodor</t>
  </si>
  <si>
    <t>UD MURNI JAYA</t>
  </si>
  <si>
    <t>Sosis mie</t>
  </si>
  <si>
    <t>Sosis</t>
  </si>
  <si>
    <t>534 / 1570 / 411.306 / 2010</t>
  </si>
  <si>
    <t>Jl. Sumatra, Dsn. Pesantren Ds. Bodor</t>
  </si>
  <si>
    <t>DIAN JAYA BAKERY</t>
  </si>
  <si>
    <t>Bakery</t>
  </si>
  <si>
    <t>534 / 1573 / 411.306 / 2010</t>
  </si>
  <si>
    <t>Ds.candirejo</t>
  </si>
  <si>
    <t>loceret</t>
  </si>
  <si>
    <t>UD BERSAMA SUBUR</t>
  </si>
  <si>
    <t>534 / 1653 / 411.306 / 2010</t>
  </si>
  <si>
    <t>Dsn. Balongasem RT 01 RW 06</t>
  </si>
  <si>
    <t>UD INDAH JAYA</t>
  </si>
  <si>
    <t>534 / 1901 / 411.306 / 2010</t>
  </si>
  <si>
    <t>15 Juli 2010</t>
  </si>
  <si>
    <t>Jl. Empu Sendok, Ds. Candirejo</t>
  </si>
  <si>
    <t>UD MAHARDIKA JAYA ABADI</t>
  </si>
  <si>
    <t>Barang bekas</t>
  </si>
  <si>
    <t>barang bekas</t>
  </si>
  <si>
    <t>534 / 2026 / 411.306 / 2010</t>
  </si>
  <si>
    <t>4 Agustus 2010</t>
  </si>
  <si>
    <t>Jl. Merapi 48, Ds. Sukorejo</t>
  </si>
  <si>
    <t>PLANET DESIGN</t>
  </si>
  <si>
    <t>rim</t>
  </si>
  <si>
    <t>534 / 2062 / 411.306 / 2010</t>
  </si>
  <si>
    <t>10 Agustus 2010</t>
  </si>
  <si>
    <t>Dsn. Lobeserbarat No. 63</t>
  </si>
  <si>
    <t>UD SUMBER JAYA</t>
  </si>
  <si>
    <t>534 / 2069 / 411.306 / 2010</t>
  </si>
  <si>
    <t>Ds. Salamrojo</t>
  </si>
  <si>
    <t>UD KURNIA ABADI</t>
  </si>
  <si>
    <t>534 / 2096 / 411.306 / 2010</t>
  </si>
  <si>
    <t>12 Agustus 2010</t>
  </si>
  <si>
    <t>Ds. Bajang</t>
  </si>
  <si>
    <t>UD EKA DEWI LESTARI</t>
  </si>
  <si>
    <t>set</t>
  </si>
  <si>
    <t>534 / 2160 / 411.306 / 2010</t>
  </si>
  <si>
    <t>20 Agustus 2010</t>
  </si>
  <si>
    <t>Ds.Ngrawan</t>
  </si>
  <si>
    <t>UD EKA JAYA</t>
  </si>
  <si>
    <t>534 / 2272 / 411.306 / 2010</t>
  </si>
  <si>
    <t>3 September 2010</t>
  </si>
  <si>
    <t xml:space="preserve">Ds. Pandantoyo </t>
  </si>
  <si>
    <t>ZAKKY SABLON &amp; KONVEKSI</t>
  </si>
  <si>
    <t>kain</t>
  </si>
  <si>
    <t>534 / 2280 / 411.306 / 2010</t>
  </si>
  <si>
    <t>7 September 2010</t>
  </si>
  <si>
    <t xml:space="preserve">Ds. Sonoageng </t>
  </si>
  <si>
    <t>LUDHI TENUN</t>
  </si>
  <si>
    <t>Sarung, Kain tenun</t>
  </si>
  <si>
    <t>kodi</t>
  </si>
  <si>
    <t>benang</t>
  </si>
  <si>
    <t>Dsn. Bulu Ds. Keputren</t>
  </si>
  <si>
    <t>Lamijan</t>
  </si>
  <si>
    <t>Keripik</t>
  </si>
  <si>
    <t>Ketela, pisang</t>
  </si>
  <si>
    <t>Ds. Nglaban</t>
  </si>
  <si>
    <t>Mangga Dua</t>
  </si>
  <si>
    <t>Bulu ayam</t>
  </si>
  <si>
    <t>Dsn. Sekarputih Ds. Putren</t>
  </si>
  <si>
    <t>Sanur</t>
  </si>
  <si>
    <t>Ganung Asri D 13</t>
  </si>
  <si>
    <t>Aris Art Promo</t>
  </si>
  <si>
    <t>Kerajinan tempurung</t>
  </si>
  <si>
    <t>Batok kelapa</t>
  </si>
  <si>
    <t>Ds. Sambirejo</t>
  </si>
  <si>
    <t>Sanggar Busana "WAHYU"</t>
  </si>
  <si>
    <t>Ds. Garu</t>
  </si>
  <si>
    <t>Sugiono</t>
  </si>
  <si>
    <t>Wayang kayu</t>
  </si>
  <si>
    <t>KUB TARUNA BAKTI</t>
  </si>
  <si>
    <t>Handycraft</t>
  </si>
  <si>
    <t>Ds. Ngrengket</t>
  </si>
  <si>
    <t>Sukadi</t>
  </si>
  <si>
    <t>Arang kayu mangga</t>
  </si>
  <si>
    <t>kayu mangga</t>
  </si>
  <si>
    <t>39/KP/13-28/PK/111/1997</t>
  </si>
  <si>
    <t>Jl. Gunung Kelud, Ds. Banaran</t>
  </si>
  <si>
    <t>UD DUA PUTRA JAYA</t>
  </si>
  <si>
    <t>Mebeler</t>
  </si>
  <si>
    <t>534 / 18 / 411.306 / 2011</t>
  </si>
  <si>
    <t>Dsn. Kebun Agung, Ds. Sumberkepuh</t>
  </si>
  <si>
    <t>UD SHA-SHA</t>
  </si>
  <si>
    <t>Pisang, ubi, buah</t>
  </si>
  <si>
    <t>534 / 20 / 411.306 / 2011</t>
  </si>
  <si>
    <t>Dsn. Gebangayu, Ds. Kedungdowo</t>
  </si>
  <si>
    <t>UD KEDUNG GALING</t>
  </si>
  <si>
    <t xml:space="preserve">Arang kayu </t>
  </si>
  <si>
    <t>534 / 117 / 411.306 / 2011</t>
  </si>
  <si>
    <t>Ds.Tempelwetan</t>
  </si>
  <si>
    <t>Penggergajian kayu</t>
  </si>
  <si>
    <t>534 / 114 / 411.306 / 2011</t>
  </si>
  <si>
    <t>Dsn. Gambirejo, Kel. Warujayeng</t>
  </si>
  <si>
    <t>UD FAIZ MEUBEL</t>
  </si>
  <si>
    <t>Mebel</t>
  </si>
  <si>
    <t>534 / 134 / 411.306 / 2011</t>
  </si>
  <si>
    <t>Dsn. Sanggrahan, Ds. Nglaban</t>
  </si>
  <si>
    <t>UD JATI MULYO</t>
  </si>
  <si>
    <t>534 / 151 / 411.306 / 2011</t>
  </si>
  <si>
    <t>Ds. Kedungrejo</t>
  </si>
  <si>
    <t>UD SUMBER SEHAT</t>
  </si>
  <si>
    <t>Sabun mandi</t>
  </si>
  <si>
    <t>tawas</t>
  </si>
  <si>
    <t>534 / 233 / 411.306 / 2011</t>
  </si>
  <si>
    <t>Dsn. Gedangklutuk, Ds. Sawahan</t>
  </si>
  <si>
    <t>UD HIJAU DAUN</t>
  </si>
  <si>
    <t>534 / 252 / 411.306 / 2011</t>
  </si>
  <si>
    <t>Jl. Raden Wijaya, Kel. Ploso</t>
  </si>
  <si>
    <t>UD ASSYAJAR</t>
  </si>
  <si>
    <t>534 / 641 / 411.306 / 2011</t>
  </si>
  <si>
    <t>Ds. Bareng</t>
  </si>
  <si>
    <t>BENGKEL NILAM SARI</t>
  </si>
  <si>
    <t>Tangki logam</t>
  </si>
  <si>
    <t>besi</t>
  </si>
  <si>
    <t>batang</t>
  </si>
  <si>
    <t>534 / 659 / 411.306 / 2011</t>
  </si>
  <si>
    <t>Dsn. Sumbersari Ds. Mojokendil</t>
  </si>
  <si>
    <t>SARI RASA</t>
  </si>
  <si>
    <t xml:space="preserve">Roti </t>
  </si>
  <si>
    <t>534 / 765 / 411.306 / 2011</t>
  </si>
  <si>
    <t>Ds. Mlorah</t>
  </si>
  <si>
    <t>PR. DJODI PATI</t>
  </si>
  <si>
    <t>534 / 817 / 411.306 / 2011</t>
  </si>
  <si>
    <t>Ds. Kaloran</t>
  </si>
  <si>
    <t>UD WISMA AGUNG</t>
  </si>
  <si>
    <t>534 / 1227 / 411.306 / 2011</t>
  </si>
  <si>
    <t>Ds. Mojokendil</t>
  </si>
  <si>
    <t>ASSIFA</t>
  </si>
  <si>
    <t>Bawang merah goreng</t>
  </si>
  <si>
    <t>bawang merah</t>
  </si>
  <si>
    <t>534 / 1017 / 411.306 / 2011</t>
  </si>
  <si>
    <t>Jl. Kalimantan Ds. Bodor</t>
  </si>
  <si>
    <t>UD MANDIRI</t>
  </si>
  <si>
    <t>534 / 1031 / 411.306 / 2011</t>
  </si>
  <si>
    <t>Ds. Joho</t>
  </si>
  <si>
    <t>UD WISNU SEJAHTERA</t>
  </si>
  <si>
    <t>534 / 1028 / 411.306 / 2011</t>
  </si>
  <si>
    <t>Ds. Patranrejo</t>
  </si>
  <si>
    <t>UD KARYA USAHA BERSAMA</t>
  </si>
  <si>
    <t>534 / 1187 / 411.306 / 2011</t>
  </si>
  <si>
    <t>Ds. Oro-oro Ombo</t>
  </si>
  <si>
    <t>UD DEWI MAKMUR</t>
  </si>
  <si>
    <t>534 / 1185 / 411.306 / 2011</t>
  </si>
  <si>
    <t>Ds. Jatipunggur</t>
  </si>
  <si>
    <t>UD MITRA USAHA</t>
  </si>
  <si>
    <t>534 / 1235 / 411.306 / 2011</t>
  </si>
  <si>
    <t>Ds. Tekenglagahan</t>
  </si>
  <si>
    <t>UD KRUPUK BAROKAH</t>
  </si>
  <si>
    <t>534 / 1278 / 411.306 / 2011</t>
  </si>
  <si>
    <t>Ds. Gemenggeng</t>
  </si>
  <si>
    <t>PR. TRI BAKTI</t>
  </si>
  <si>
    <t>534 / 1317 / 411.306 / 2011</t>
  </si>
  <si>
    <t>Ds. Demangan</t>
  </si>
  <si>
    <t>UD WIJAYA</t>
  </si>
  <si>
    <t>Arang</t>
  </si>
  <si>
    <t>534 / 1795 / 411.306 / 2011</t>
  </si>
  <si>
    <t>Jl. Wilis 1B No. 12, Kel. Ganungkidul</t>
  </si>
  <si>
    <t>SARI RASA 08</t>
  </si>
  <si>
    <t>534 / 1851 / 411.306 / 2011</t>
  </si>
  <si>
    <t>Ds. Bagorwetan</t>
  </si>
  <si>
    <t>UD ANDIKA JATI INDAH (AJI)</t>
  </si>
  <si>
    <t>534 / 1865 / 411.306 / 2011</t>
  </si>
  <si>
    <t>Dsn. Jatisari, Ds. Jatipunggur</t>
  </si>
  <si>
    <t>UD MEKAR SARI</t>
  </si>
  <si>
    <t>534 / 1973 / 411.306 / 2011</t>
  </si>
  <si>
    <t>Ds. Gondangkulon</t>
  </si>
  <si>
    <t>UD JATI INTAN</t>
  </si>
  <si>
    <t>534 / 2008 / 411.306 / 2011</t>
  </si>
  <si>
    <t>Dsn. Mindi RT 05 RW 01, Ds. Kelutan</t>
  </si>
  <si>
    <t>UD SUMBER SLAMET</t>
  </si>
  <si>
    <t>534 / 2051 / 411.306 / 2011</t>
  </si>
  <si>
    <t>Ds. Lengkok RT 11 RW 06</t>
  </si>
  <si>
    <t>UD SINAR JAYA</t>
  </si>
  <si>
    <t>534 / 2082 / 411.306 / 2011</t>
  </si>
  <si>
    <t>Dukuh Kuniran, Ds. Jekek</t>
  </si>
  <si>
    <t>Ali Maskur</t>
  </si>
  <si>
    <t>Yati</t>
  </si>
  <si>
    <t>ketela</t>
  </si>
  <si>
    <t>Dukuh Sumur pandan, Ds. Jekek</t>
  </si>
  <si>
    <t>Moh. Toha Maksum</t>
  </si>
  <si>
    <t>telur</t>
  </si>
  <si>
    <t>Ds. Kedungmlaten</t>
  </si>
  <si>
    <t>Sadjianto</t>
  </si>
  <si>
    <t>keripik</t>
  </si>
  <si>
    <t>Pisang</t>
  </si>
  <si>
    <t>Ds. Ngringin</t>
  </si>
  <si>
    <t>Bajuri</t>
  </si>
  <si>
    <t>Ds. Babadan</t>
  </si>
  <si>
    <t>KARIM GROUP</t>
  </si>
  <si>
    <t>Dukuh Pandansili Ds. Kweden</t>
  </si>
  <si>
    <t>Sobiri</t>
  </si>
  <si>
    <t>Plafont Gipsum</t>
  </si>
  <si>
    <t>gips</t>
  </si>
  <si>
    <t>Ds. Nglinggo</t>
  </si>
  <si>
    <t>Aulia Abadi</t>
  </si>
  <si>
    <t>Nasi jagung instan</t>
  </si>
  <si>
    <t>jagung</t>
  </si>
  <si>
    <t>2,5</t>
  </si>
  <si>
    <t>534 / 219 / 411.306 / 2012</t>
  </si>
  <si>
    <t>UD Sri Rejeki</t>
  </si>
  <si>
    <t>Dsn. Putuk Ds. Sawahan</t>
  </si>
  <si>
    <t>Suluh</t>
  </si>
  <si>
    <t>singkong, ketela</t>
  </si>
  <si>
    <t>Dsn. Templek Ds. Jatirejo</t>
  </si>
  <si>
    <t>Atin</t>
  </si>
  <si>
    <t>Wingko</t>
  </si>
  <si>
    <t>box</t>
  </si>
  <si>
    <t>tepung ketan</t>
  </si>
  <si>
    <t>Ds. Ngliman</t>
  </si>
  <si>
    <t>Dwi Indarti</t>
  </si>
  <si>
    <t>Minuman sari bunga mawar</t>
  </si>
  <si>
    <t>bunga mawar</t>
  </si>
  <si>
    <t>Ds. Jatirejo</t>
  </si>
  <si>
    <t>Sugiarto</t>
  </si>
  <si>
    <t>Minuman mint</t>
  </si>
  <si>
    <t>daun mint</t>
  </si>
  <si>
    <t>Ds. Sendangbumen</t>
  </si>
  <si>
    <t>Suroton</t>
  </si>
  <si>
    <t>kedelai</t>
  </si>
  <si>
    <t>Ds. Malangsari</t>
  </si>
  <si>
    <t>Suyono</t>
  </si>
  <si>
    <t>Sunarto</t>
  </si>
  <si>
    <t>Dukuh Meranggo Ds. Malangsari</t>
  </si>
  <si>
    <t>Sutrisno</t>
  </si>
  <si>
    <t>Ds. Sukomoro</t>
  </si>
  <si>
    <t>Markamah</t>
  </si>
  <si>
    <t>Handoko</t>
  </si>
  <si>
    <t>Susu kedelai</t>
  </si>
  <si>
    <t>Jl. Wilis Kel. Jarakan</t>
  </si>
  <si>
    <t>Budi</t>
  </si>
  <si>
    <t>krupuk samier</t>
  </si>
  <si>
    <t>singkong</t>
  </si>
  <si>
    <t>Kel. Werungotok</t>
  </si>
  <si>
    <t>Ibu Sahid</t>
  </si>
  <si>
    <t>krupuk peyek kacang</t>
  </si>
  <si>
    <t>tepung, kacang</t>
  </si>
  <si>
    <t>Kel. Begadung</t>
  </si>
  <si>
    <t>Slamet</t>
  </si>
  <si>
    <t>Marsaid</t>
  </si>
  <si>
    <t>Suwito</t>
  </si>
  <si>
    <t>Darmanto</t>
  </si>
  <si>
    <t>tempe</t>
  </si>
  <si>
    <t>Takcip</t>
  </si>
  <si>
    <t>Suprihatin</t>
  </si>
  <si>
    <t>Sukaji</t>
  </si>
  <si>
    <t>Jl. Jurusan Gondang, Ds. Sukomoro</t>
  </si>
  <si>
    <t>SRIKANDI</t>
  </si>
  <si>
    <t>Konveksi baju</t>
  </si>
  <si>
    <t>meter</t>
  </si>
  <si>
    <t>Dsn. Bendungan Ds. Kedungrejo</t>
  </si>
  <si>
    <t>UD SEMPULUR</t>
  </si>
  <si>
    <t>Penggilingan padi</t>
  </si>
  <si>
    <t>gabah</t>
  </si>
  <si>
    <t>diesel</t>
  </si>
  <si>
    <t>Dsn. Karangtengah Ds. Plosoharjo</t>
  </si>
  <si>
    <t>Saji</t>
  </si>
  <si>
    <t>kayu jati</t>
  </si>
  <si>
    <t>Dsn. Jegles Ds. Plosoharjo</t>
  </si>
  <si>
    <t>UD AGUNG JAYA</t>
  </si>
  <si>
    <t>Kayu glugu</t>
  </si>
  <si>
    <t>truck</t>
  </si>
  <si>
    <t>136/KP/13-28/PR/1996</t>
  </si>
  <si>
    <t>Dsn. Jatirejo Ds. Kapas</t>
  </si>
  <si>
    <t>Suparno</t>
  </si>
  <si>
    <t>Ds. Mojorembum</t>
  </si>
  <si>
    <t>UD DEWI SRI</t>
  </si>
  <si>
    <t>Dsn. Bulurejo Ds. Mojorembum</t>
  </si>
  <si>
    <t>UD MAKMUR</t>
  </si>
  <si>
    <t>511.3/337/411.306/2012</t>
  </si>
  <si>
    <t>Dsn. Balongdringo Ds. Ngrami</t>
  </si>
  <si>
    <t>CV CAHAYA PERMATA</t>
  </si>
  <si>
    <t>Jasa listrik</t>
  </si>
  <si>
    <t>kabel, pipa</t>
  </si>
  <si>
    <t>rol, biji</t>
  </si>
  <si>
    <t>511.3/2913/411.306/2010</t>
  </si>
  <si>
    <t>Ds. Pehserut</t>
  </si>
  <si>
    <t>Puryono</t>
  </si>
  <si>
    <t>RPH Malabong BKPH Bagor</t>
  </si>
  <si>
    <t>Penyulingan Minyak Kayu Putih</t>
  </si>
  <si>
    <t>Minyak kayu putih</t>
  </si>
  <si>
    <t>daun kayu putih</t>
  </si>
  <si>
    <t>Ds. Sawahan</t>
  </si>
  <si>
    <t>Supadir</t>
  </si>
  <si>
    <t>daun cengkeh</t>
  </si>
  <si>
    <t>UD SUMBER AGUNG</t>
  </si>
  <si>
    <t>511.3/3417/411.306/2011</t>
  </si>
  <si>
    <t>Dsn. Sidorero Ds. Meko</t>
  </si>
  <si>
    <t>Yuniana</t>
  </si>
  <si>
    <t>Dsn. Sidomulyo Ds. Sidorejo</t>
  </si>
  <si>
    <t>Imam Rosadi, SH</t>
  </si>
  <si>
    <t>Dsn. Sidorejo Ds. Sidorejo</t>
  </si>
  <si>
    <t>UD SARI ALAM</t>
  </si>
  <si>
    <t>UD SRI REJEKI</t>
  </si>
  <si>
    <t>Pengolahan sampah plastik</t>
  </si>
  <si>
    <t>sampah plastik</t>
  </si>
  <si>
    <t>paket</t>
  </si>
  <si>
    <t>Ds. Kecubung</t>
  </si>
  <si>
    <t>UD MORODADI</t>
  </si>
  <si>
    <t>kayu kalimantan</t>
  </si>
  <si>
    <t>511.3/216/411.306/2010</t>
  </si>
  <si>
    <t>Ds. Mojoagung</t>
  </si>
  <si>
    <t>UD MARGO JATI MULYO</t>
  </si>
  <si>
    <t>511.3/529/411.504/2003</t>
  </si>
  <si>
    <t>Ds. Baleturi</t>
  </si>
  <si>
    <t>UD LESTARI</t>
  </si>
  <si>
    <t>Jagung</t>
  </si>
  <si>
    <t>Jl. Pang.Sudirman 98 Ds. Jetis</t>
  </si>
  <si>
    <t>UD SABAR</t>
  </si>
  <si>
    <t>511.3/156/411.504/2007</t>
  </si>
  <si>
    <t>Dsn. Banyurip Ds. Rejoso</t>
  </si>
  <si>
    <t>Sujoko</t>
  </si>
  <si>
    <t>Ds. Ngangkatan</t>
  </si>
  <si>
    <t>UD SURYA GLASS</t>
  </si>
  <si>
    <t>Kaca ukir</t>
  </si>
  <si>
    <t>m2</t>
  </si>
  <si>
    <t>kaca</t>
  </si>
  <si>
    <t>Dsn. Gambyok Ds. Sawahan</t>
  </si>
  <si>
    <t>UD RIZA DAUN</t>
  </si>
  <si>
    <t>Dsn. Ngliman Ds. Ngliman</t>
  </si>
  <si>
    <t>Pusat Kegiatan Belajar Masyarakat</t>
  </si>
  <si>
    <t>Minuman bunga mawar</t>
  </si>
  <si>
    <t>Gaguk Catur Winardi</t>
  </si>
  <si>
    <t>Ds. Getas</t>
  </si>
  <si>
    <t>Arifin</t>
  </si>
  <si>
    <t>Ds. Ngudikan</t>
  </si>
  <si>
    <t>Suparmin</t>
  </si>
  <si>
    <t>SRI REJEKI</t>
  </si>
  <si>
    <t>UD JATI SUBUR</t>
  </si>
  <si>
    <t>732/13-29/TDUP/III/2000</t>
  </si>
  <si>
    <t>Dsn. Waung Ds. Sukoharjo</t>
  </si>
  <si>
    <t>UD SUMUR GEDE</t>
  </si>
  <si>
    <t>23/KP/13-29/PM/VI/1996</t>
  </si>
  <si>
    <t>UD MATA AGUNG</t>
  </si>
  <si>
    <t>60/KP/13-29/PR/VII/1994</t>
  </si>
  <si>
    <t>UD JATI LANGGENG</t>
  </si>
  <si>
    <t>K/052/426.411/2001</t>
  </si>
  <si>
    <t>Dsn. Gaeng Ds. Ngudikan</t>
  </si>
  <si>
    <t>Tursina</t>
  </si>
  <si>
    <t>511.3/1344/411.306/2012</t>
  </si>
  <si>
    <t>UD JATI RESMI</t>
  </si>
  <si>
    <t>13.29.536.02705</t>
  </si>
  <si>
    <t>Ds. Rejoso</t>
  </si>
  <si>
    <t>Nonik Catering</t>
  </si>
  <si>
    <t>Kue kering</t>
  </si>
  <si>
    <t>tepung terigu</t>
  </si>
  <si>
    <t>Ds. Bandung</t>
  </si>
  <si>
    <t>Susu Etawa Muda</t>
  </si>
  <si>
    <t>Susu etawa</t>
  </si>
  <si>
    <t>kambing etawa</t>
  </si>
  <si>
    <t>ekor</t>
  </si>
  <si>
    <t>Dsn. Bendo Ds. Demangan</t>
  </si>
  <si>
    <t>CV. ABABIL</t>
  </si>
  <si>
    <t>rumah</t>
  </si>
  <si>
    <t>kabel</t>
  </si>
  <si>
    <t>511.3/25/411.504/2008</t>
  </si>
  <si>
    <t>UD ASLI GATOTKOCO</t>
  </si>
  <si>
    <t>Paving</t>
  </si>
  <si>
    <t>pasir</t>
  </si>
  <si>
    <t>503.08/338.426.14/1993</t>
  </si>
  <si>
    <t>Sumiati</t>
  </si>
  <si>
    <t>Konveksi pakaian, tas</t>
  </si>
  <si>
    <t>kain, kulit</t>
  </si>
  <si>
    <t>Suhendra</t>
  </si>
  <si>
    <t>tepung tapioka</t>
  </si>
  <si>
    <t>UD SUMBER REJEKI</t>
  </si>
  <si>
    <t>Ds. Musirkidul</t>
  </si>
  <si>
    <t>Simin</t>
  </si>
  <si>
    <t>Ds. Banjarejo</t>
  </si>
  <si>
    <t>Kasidi</t>
  </si>
  <si>
    <t>Ds. Sambikerep</t>
  </si>
  <si>
    <t>UD BUMI KARYA</t>
  </si>
  <si>
    <t>511.3/1149/411.504/2007</t>
  </si>
  <si>
    <t>Ds. Plosoharjo</t>
  </si>
  <si>
    <t>UD SUBUR</t>
  </si>
  <si>
    <t>Bahan bangunan</t>
  </si>
  <si>
    <t>pasir, semen</t>
  </si>
  <si>
    <t>511.3/2759/411.306/2011</t>
  </si>
  <si>
    <t>Ds. Ngadirejo</t>
  </si>
  <si>
    <t>Samat</t>
  </si>
  <si>
    <t>slop</t>
  </si>
  <si>
    <t>bulu menthok</t>
  </si>
  <si>
    <t>UD MUSTIKA</t>
  </si>
  <si>
    <t>dosin</t>
  </si>
  <si>
    <t>511.3/825/411.504/2008</t>
  </si>
  <si>
    <t>Khoirul Sholeh</t>
  </si>
  <si>
    <t>Yusno</t>
  </si>
  <si>
    <t>Kasur</t>
  </si>
  <si>
    <t>kapas</t>
  </si>
  <si>
    <t>Dsn. Bagorwetan Ds. Ngrami</t>
  </si>
  <si>
    <t>UD MARGO MAKMUR</t>
  </si>
  <si>
    <t>kayu randu</t>
  </si>
  <si>
    <t>UD BONANZA SPORT</t>
  </si>
  <si>
    <t>Ds. Balongrejo</t>
  </si>
  <si>
    <t>SEKARJATI</t>
  </si>
  <si>
    <t>Suyitno</t>
  </si>
  <si>
    <t>Kasmari</t>
  </si>
  <si>
    <t>Daman</t>
  </si>
  <si>
    <t>Katimin</t>
  </si>
  <si>
    <t>Kuswanto</t>
  </si>
  <si>
    <t>Sariman</t>
  </si>
  <si>
    <t>Jati Murni</t>
  </si>
  <si>
    <t>UD SUMBER JATI HARAPAN</t>
  </si>
  <si>
    <t>Pariadi</t>
  </si>
  <si>
    <t>Yadi</t>
  </si>
  <si>
    <t>Lamidi</t>
  </si>
  <si>
    <t>Winarto</t>
  </si>
  <si>
    <t>Juwari</t>
  </si>
  <si>
    <t>UD JATI BARU</t>
  </si>
  <si>
    <t>UD JATI AYU</t>
  </si>
  <si>
    <t>Purnomo</t>
  </si>
  <si>
    <t>Samijo</t>
  </si>
  <si>
    <t>UD SUMBER BAROKAH</t>
  </si>
  <si>
    <t>530/041/426.411/2002</t>
  </si>
  <si>
    <t>Zaenal Fanani</t>
  </si>
  <si>
    <t>Pardi</t>
  </si>
  <si>
    <t>Ali Masyhar</t>
  </si>
  <si>
    <t>Suwignyo</t>
  </si>
  <si>
    <t>Salim</t>
  </si>
  <si>
    <t>UD JATI PUTRA</t>
  </si>
  <si>
    <t>511.3/2676/411.306/2012</t>
  </si>
  <si>
    <t>UD LESTARI FURNITUR</t>
  </si>
  <si>
    <t>511.3/3214/411.306/2011</t>
  </si>
  <si>
    <t>Agus Hariyanto</t>
  </si>
  <si>
    <t>Warsono</t>
  </si>
  <si>
    <t>Musiran</t>
  </si>
  <si>
    <t>UD JATI WISNU</t>
  </si>
  <si>
    <t>511.3/2115/411.504/2005</t>
  </si>
  <si>
    <t>511.3/271/411.504/2008</t>
  </si>
  <si>
    <t>UD WAHYU AGUNG</t>
  </si>
  <si>
    <t>00304/13-29/SIUP/K/V/2001</t>
  </si>
  <si>
    <t>Jumino</t>
  </si>
  <si>
    <t>UD JATI TUNGGAL</t>
  </si>
  <si>
    <t>K/130/426.411/2002</t>
  </si>
  <si>
    <t>UD JATI MURNI</t>
  </si>
  <si>
    <t>398/13-28/IKAHH/III/2000</t>
  </si>
  <si>
    <t>Samingan</t>
  </si>
  <si>
    <t>Sumarlan</t>
  </si>
  <si>
    <t>JATI MUKTI</t>
  </si>
  <si>
    <t>SUMBER USAHA</t>
  </si>
  <si>
    <t>Wari</t>
  </si>
  <si>
    <t>JATI SEMI</t>
  </si>
  <si>
    <t>Dsn. Dukuhan, Ds. Tiripan</t>
  </si>
  <si>
    <t>UD PERMATA JATI</t>
  </si>
  <si>
    <t>SIUP.K/103/426.411/2002</t>
  </si>
  <si>
    <t>Dsn. Sudimoro, Ds. Tiripan</t>
  </si>
  <si>
    <t>511.3/1782/411.306/2009</t>
  </si>
  <si>
    <t>UD JATI ALAM</t>
  </si>
  <si>
    <t>530/033/426.411/2002</t>
  </si>
  <si>
    <t>Sumarsono</t>
  </si>
  <si>
    <t>UD JATI SEMI</t>
  </si>
  <si>
    <t>438/13-28/IKAHH/VI/2000</t>
  </si>
  <si>
    <t>Lamud</t>
  </si>
  <si>
    <t>Mimo</t>
  </si>
  <si>
    <t>UD SIDO MULYO</t>
  </si>
  <si>
    <t>Dsn. Kanten, Ds. Tiripan</t>
  </si>
  <si>
    <t>Sadikun</t>
  </si>
  <si>
    <t>Wardi</t>
  </si>
  <si>
    <t>Kayu gelonggong</t>
  </si>
  <si>
    <t>Abdul Rohim</t>
  </si>
  <si>
    <t>Sunoto</t>
  </si>
  <si>
    <t>UD JATI MAKMUR</t>
  </si>
  <si>
    <t>13,5</t>
  </si>
  <si>
    <t>UD SUDIMORO</t>
  </si>
  <si>
    <t>Sarimun</t>
  </si>
  <si>
    <t>1,5</t>
  </si>
  <si>
    <t>dinamo</t>
  </si>
  <si>
    <t>Dsn. Tempe, Ds. Patranrejo</t>
  </si>
  <si>
    <t>UD KARYA USAHA</t>
  </si>
  <si>
    <t>Dsn. Tiripan, Ds. Tiripan</t>
  </si>
  <si>
    <t>Wiwik Kasmini</t>
  </si>
  <si>
    <t>Dsn. Karokan, Ds. Tiripan</t>
  </si>
  <si>
    <t>Ariadi</t>
  </si>
  <si>
    <t>Yanto</t>
  </si>
  <si>
    <t>Komari</t>
  </si>
  <si>
    <t>3,5</t>
  </si>
  <si>
    <t>Sudar</t>
  </si>
  <si>
    <t>Parno</t>
  </si>
  <si>
    <t>Semun JM</t>
  </si>
  <si>
    <t>UD DUTA JATI</t>
  </si>
  <si>
    <t>UD TEGAL JATI</t>
  </si>
  <si>
    <t>Suyadi</t>
  </si>
  <si>
    <t>UD JATI BERKEMBANG</t>
  </si>
  <si>
    <t>UD JATI REJEKI</t>
  </si>
  <si>
    <t>Sabar</t>
  </si>
  <si>
    <t>UD RIMBA JATI</t>
  </si>
  <si>
    <t>Ds. Watudandang</t>
  </si>
  <si>
    <t>Warna Agung</t>
  </si>
  <si>
    <t>Sumilan</t>
  </si>
  <si>
    <t>Alat pertanian</t>
  </si>
  <si>
    <t>baja besi</t>
  </si>
  <si>
    <t>Mustakim</t>
  </si>
  <si>
    <t>Martono</t>
  </si>
  <si>
    <t>Ds. Kebonagung</t>
  </si>
  <si>
    <t>Rianto</t>
  </si>
  <si>
    <t>Mente</t>
  </si>
  <si>
    <t>jambu mente</t>
  </si>
  <si>
    <t>Musis</t>
  </si>
  <si>
    <t>Lasimin</t>
  </si>
  <si>
    <t>Ds. Duwel</t>
  </si>
  <si>
    <t>KARUNIA</t>
  </si>
  <si>
    <t>Dsn. Duwel, Ds. Sukorejo</t>
  </si>
  <si>
    <t>Taruna Karya Sukorejo</t>
  </si>
  <si>
    <t>Januri</t>
  </si>
  <si>
    <t>Dsn. Santren, Ds. Kapas</t>
  </si>
  <si>
    <t>Sumar</t>
  </si>
  <si>
    <t>Dsn. Kajang, Kel. Bungur</t>
  </si>
  <si>
    <t>Darsi</t>
  </si>
  <si>
    <t>UD SSS</t>
  </si>
  <si>
    <t>UD RIZKY DAUN</t>
  </si>
  <si>
    <t>Subandi</t>
  </si>
  <si>
    <t>Slamet Hariono</t>
  </si>
  <si>
    <t>511.3/1702/411.306/2012</t>
  </si>
  <si>
    <t>Mancon - Wilangan</t>
  </si>
  <si>
    <t>CV SIRKAH JAYA</t>
  </si>
  <si>
    <t>batu</t>
  </si>
  <si>
    <t>Ds. Ngadiboyo</t>
  </si>
  <si>
    <t>UD KARYA BERSAMA</t>
  </si>
  <si>
    <t>18/KP/13-29/PK/II/1995</t>
  </si>
  <si>
    <t>UD JATI MAJU</t>
  </si>
  <si>
    <t>Kel. Warujayeng</t>
  </si>
  <si>
    <t>Pengrajin Kandang Ayam</t>
  </si>
  <si>
    <t>Kandang ayam</t>
  </si>
  <si>
    <t>bambu</t>
  </si>
  <si>
    <t>Ds. Jarakan</t>
  </si>
  <si>
    <t>Murdoko</t>
  </si>
  <si>
    <t>Bata merah</t>
  </si>
  <si>
    <t>Ahmad Zainal Arifin</t>
  </si>
  <si>
    <t>Batu bata</t>
  </si>
  <si>
    <t>Kasmuri</t>
  </si>
  <si>
    <t>Pak Damun</t>
  </si>
  <si>
    <t>Gaimin</t>
  </si>
  <si>
    <t>Kapuk mentah</t>
  </si>
  <si>
    <t>kapuk</t>
  </si>
  <si>
    <t>Ormas Unggul Jaya</t>
  </si>
  <si>
    <t>bulu ayam</t>
  </si>
  <si>
    <t>TAHU SARI</t>
  </si>
  <si>
    <t>Sampun</t>
  </si>
  <si>
    <t>Jamu Gendong Sekar Sari</t>
  </si>
  <si>
    <t xml:space="preserve">Jamu </t>
  </si>
  <si>
    <t>rempah-rempah</t>
  </si>
  <si>
    <t>UD KARTINI JEPARA</t>
  </si>
  <si>
    <t>511.3/577/411.306/2011</t>
  </si>
  <si>
    <t>Agung</t>
  </si>
  <si>
    <t>Marmin</t>
  </si>
  <si>
    <t xml:space="preserve">Ds. Tanjungrejo  </t>
  </si>
  <si>
    <t>Murjinem</t>
  </si>
  <si>
    <t>Ds. Tanjungrejo</t>
  </si>
  <si>
    <t>LANCAR JAYA</t>
  </si>
  <si>
    <t>SUPER POWER COCK</t>
  </si>
  <si>
    <t>PYRAMID</t>
  </si>
  <si>
    <t>Ds. Ngasem</t>
  </si>
  <si>
    <t>Ngasini</t>
  </si>
  <si>
    <t>Anyaman mendong</t>
  </si>
  <si>
    <t>daun pandan</t>
  </si>
  <si>
    <t>ikat</t>
  </si>
  <si>
    <t>Dsn. Songsong, Ds. Jatikalen</t>
  </si>
  <si>
    <t>Rokhana</t>
  </si>
  <si>
    <t>Tenun</t>
  </si>
  <si>
    <t>benang katun</t>
  </si>
  <si>
    <t>Ds. Begendeng</t>
  </si>
  <si>
    <t>Sumadi</t>
  </si>
  <si>
    <t>Ds. Perning</t>
  </si>
  <si>
    <t>Ibu Kasti</t>
  </si>
  <si>
    <t>Kholisah</t>
  </si>
  <si>
    <t>Ds. Tembarak</t>
  </si>
  <si>
    <t>Kukuh Suharsono</t>
  </si>
  <si>
    <t>Salidi</t>
  </si>
  <si>
    <t>Munadi</t>
  </si>
  <si>
    <t>Supriyadi</t>
  </si>
  <si>
    <t>Sumarmi</t>
  </si>
  <si>
    <t>RAJAWALI MAS</t>
  </si>
  <si>
    <t>krecek</t>
  </si>
  <si>
    <t>Ds. Ngadioso</t>
  </si>
  <si>
    <t>Jiman</t>
  </si>
  <si>
    <t>Umar Sanasi</t>
  </si>
  <si>
    <t>Ds. Sugihwaras</t>
  </si>
  <si>
    <t>Ibu Lasmi</t>
  </si>
  <si>
    <t>Pak Lasito</t>
  </si>
  <si>
    <t>Pak Suwardi</t>
  </si>
  <si>
    <t>Pak Suyoto Tohir</t>
  </si>
  <si>
    <t>Pak Slamet</t>
  </si>
  <si>
    <t>sekam</t>
  </si>
  <si>
    <t>Pak Saimin</t>
  </si>
  <si>
    <t>Pak Samiran</t>
  </si>
  <si>
    <t>Ibu Sudartin</t>
  </si>
  <si>
    <t>Ds. Kerepkidul</t>
  </si>
  <si>
    <t>Pak Sugianto</t>
  </si>
  <si>
    <t>Kendi</t>
  </si>
  <si>
    <t>kol</t>
  </si>
  <si>
    <t>Pak Suwolo</t>
  </si>
  <si>
    <t>Kartolo</t>
  </si>
  <si>
    <t>Ds. Waung</t>
  </si>
  <si>
    <t>CV MITRASAHAJAYA</t>
  </si>
  <si>
    <t>Muharko</t>
  </si>
  <si>
    <t>krupuk</t>
  </si>
  <si>
    <t>Sutiyon</t>
  </si>
  <si>
    <t>PALAPA</t>
  </si>
  <si>
    <t>Sutomo</t>
  </si>
  <si>
    <t>Nimah</t>
  </si>
  <si>
    <t>Mujiono</t>
  </si>
  <si>
    <t>Parti</t>
  </si>
  <si>
    <t>Nyamin</t>
  </si>
  <si>
    <t>Suryono</t>
  </si>
  <si>
    <t>Isnen</t>
  </si>
  <si>
    <t>Abu Toyib</t>
  </si>
  <si>
    <t>Budi Utomo</t>
  </si>
  <si>
    <t>SEMERU PUTRA</t>
  </si>
  <si>
    <t>NETRAL</t>
  </si>
  <si>
    <t xml:space="preserve">SEMERU   </t>
  </si>
  <si>
    <t>SPIDER</t>
  </si>
  <si>
    <t>MAULANA SPORT</t>
  </si>
  <si>
    <t>PRO SPORT</t>
  </si>
  <si>
    <t>Solikin</t>
  </si>
  <si>
    <t>Pandebesi</t>
  </si>
  <si>
    <t>Kasmen</t>
  </si>
  <si>
    <t>Surip</t>
  </si>
  <si>
    <t>Nurwanto</t>
  </si>
  <si>
    <t>Jamin</t>
  </si>
  <si>
    <t>Ratemo</t>
  </si>
  <si>
    <t>Suparlan</t>
  </si>
  <si>
    <t>Supardi</t>
  </si>
  <si>
    <t>Darmo</t>
  </si>
  <si>
    <t>Binto</t>
  </si>
  <si>
    <t>Puryanto</t>
  </si>
  <si>
    <t>Aziz Imam Sudarmo</t>
  </si>
  <si>
    <t>Partono</t>
  </si>
  <si>
    <t>Ds. Kepuh</t>
  </si>
  <si>
    <t>Mariati</t>
  </si>
  <si>
    <t>Emping Jagung</t>
  </si>
  <si>
    <t>Nyono</t>
  </si>
  <si>
    <t>Marning</t>
  </si>
  <si>
    <t>Ds. Petak</t>
  </si>
  <si>
    <t>Ds. Kacangan</t>
  </si>
  <si>
    <t>Yayuk</t>
  </si>
  <si>
    <t>Gatot,Tiwul,Jagung Instan</t>
  </si>
  <si>
    <t>Ds. Gejagan</t>
  </si>
  <si>
    <t>Wiwik</t>
  </si>
  <si>
    <t>Gatot Instan</t>
  </si>
  <si>
    <t>umbi</t>
  </si>
  <si>
    <t>Sumarni</t>
  </si>
  <si>
    <t>Sukinem</t>
  </si>
  <si>
    <t>Jamiran</t>
  </si>
  <si>
    <t>Agus Sumarni</t>
  </si>
  <si>
    <t>Sunti</t>
  </si>
  <si>
    <t>Hartini</t>
  </si>
  <si>
    <t>Siti Juwariyah</t>
  </si>
  <si>
    <t>Kusnan</t>
  </si>
  <si>
    <t>Lasmidi</t>
  </si>
  <si>
    <t>Jumini</t>
  </si>
  <si>
    <t>Parman Karni</t>
  </si>
  <si>
    <t>Warsi</t>
  </si>
  <si>
    <t>Ds. Tiripan</t>
  </si>
  <si>
    <t>Sadiran</t>
  </si>
  <si>
    <t>Ds. Selorejo</t>
  </si>
  <si>
    <t>UD MODL</t>
  </si>
  <si>
    <t>Bak truk</t>
  </si>
  <si>
    <t>M. Jais</t>
  </si>
  <si>
    <t>Dsn. Dukuh, Ds. Banaranwetan</t>
  </si>
  <si>
    <t>UD MUJISENO</t>
  </si>
  <si>
    <t>Ds. Sonopatik</t>
  </si>
  <si>
    <t>UD MITRA LUHUR JAYA</t>
  </si>
  <si>
    <t>Logam</t>
  </si>
  <si>
    <t>aluminium</t>
  </si>
  <si>
    <t>Jl. Panglima Sudirman</t>
  </si>
  <si>
    <t>CV BINA LESTARI</t>
  </si>
  <si>
    <t>air</t>
  </si>
  <si>
    <t>Agung Setyawan</t>
  </si>
  <si>
    <t>UD JATI MULYA</t>
  </si>
  <si>
    <t>UD KARYA JATI</t>
  </si>
  <si>
    <t>UD HASIL UTAMA</t>
  </si>
  <si>
    <t>Dsn. Sambijajar, Ds. Drenges</t>
  </si>
  <si>
    <t>Sarpangi</t>
  </si>
  <si>
    <t>Gito</t>
  </si>
  <si>
    <t>Jamal</t>
  </si>
  <si>
    <t>Sultan Efendi</t>
  </si>
  <si>
    <t>UD SUMBER TANI</t>
  </si>
  <si>
    <t>padi</t>
  </si>
  <si>
    <t>Ds. Kwagean</t>
  </si>
  <si>
    <t>Yusido Sablon</t>
  </si>
  <si>
    <t>Kaos</t>
  </si>
  <si>
    <t>CV SEMI</t>
  </si>
  <si>
    <t>UD BAROKAH JAYA</t>
  </si>
  <si>
    <t>Marimen</t>
  </si>
  <si>
    <t>truk</t>
  </si>
  <si>
    <t>kajeng</t>
  </si>
  <si>
    <t>Sunarjo</t>
  </si>
  <si>
    <t>Agus Tri Wahyudi</t>
  </si>
  <si>
    <t>Sukamto</t>
  </si>
  <si>
    <t>Suyanto</t>
  </si>
  <si>
    <t>Panut Darwoko</t>
  </si>
  <si>
    <t>Suminto</t>
  </si>
  <si>
    <t>Darsono</t>
  </si>
  <si>
    <t>Dasin</t>
  </si>
  <si>
    <t>Mansur</t>
  </si>
  <si>
    <t>Marjani</t>
  </si>
  <si>
    <t>Mariman</t>
  </si>
  <si>
    <t>Suprapto</t>
  </si>
  <si>
    <t>Asmuri</t>
  </si>
  <si>
    <t>Iwan Suryadinata</t>
  </si>
  <si>
    <t>Sudiyanto</t>
  </si>
  <si>
    <t>Darmin</t>
  </si>
  <si>
    <t>brambut</t>
  </si>
  <si>
    <t>Mulyadi</t>
  </si>
  <si>
    <t>Sunardi</t>
  </si>
  <si>
    <t>Musodir</t>
  </si>
  <si>
    <t>Warini</t>
  </si>
  <si>
    <t>Gasiren</t>
  </si>
  <si>
    <t>Misto</t>
  </si>
  <si>
    <t>Jarot Andriono</t>
  </si>
  <si>
    <t>Paijan</t>
  </si>
  <si>
    <t>Podo</t>
  </si>
  <si>
    <t>Seman</t>
  </si>
  <si>
    <t>Wakinah</t>
  </si>
  <si>
    <t>Jumari</t>
  </si>
  <si>
    <t>Samuri</t>
  </si>
  <si>
    <t>Siti Khotijah</t>
  </si>
  <si>
    <t>Desa Bangsri</t>
  </si>
  <si>
    <t>Mariyah</t>
  </si>
  <si>
    <t>Aneka kue</t>
  </si>
  <si>
    <t>Desa Bandung</t>
  </si>
  <si>
    <t>BATIK NILAM KENCANA</t>
  </si>
  <si>
    <t>Desa Kacangan</t>
  </si>
  <si>
    <t>BATIK BAYU MUKTI</t>
  </si>
  <si>
    <t>Dsn. Bogo Ds. Nglawak</t>
  </si>
  <si>
    <t>Siska Nurdayati</t>
  </si>
  <si>
    <t>Dsn. Wonotakan, Ds. Berbek</t>
  </si>
  <si>
    <t>Sugiyono</t>
  </si>
  <si>
    <t>baja besi, arang</t>
  </si>
  <si>
    <t>Mudji</t>
  </si>
  <si>
    <t>Daniel Sukur</t>
  </si>
  <si>
    <t>Dsn.Barong. Ds.Mungkung</t>
  </si>
  <si>
    <t>Rusdi</t>
  </si>
  <si>
    <t>Santoso</t>
  </si>
  <si>
    <t>Dsn. Irobayan, Ds. Mungkung</t>
  </si>
  <si>
    <t>Lasmi</t>
  </si>
  <si>
    <t>Dsn. Papungan, Ds. Mungkung</t>
  </si>
  <si>
    <t>Sujito</t>
  </si>
  <si>
    <t>Dsn.Mbetek, Ds. Sumberwindu</t>
  </si>
  <si>
    <t>Lamiran</t>
  </si>
  <si>
    <t>Anyaman Bambu</t>
  </si>
  <si>
    <t>Bambu,rotan</t>
  </si>
  <si>
    <t>btg,kg</t>
  </si>
  <si>
    <t>Darto</t>
  </si>
  <si>
    <t>bambu,paku</t>
  </si>
  <si>
    <t>Dsn.Gemenggeng, Ds. Gemenggeng</t>
  </si>
  <si>
    <t>Partiem</t>
  </si>
  <si>
    <t>Gerabah</t>
  </si>
  <si>
    <t>Tanah liat/pasir</t>
  </si>
  <si>
    <t>pikul/sak</t>
  </si>
  <si>
    <t>Supartinah</t>
  </si>
  <si>
    <t>Dsn.tanggungan, Ds. Balongan</t>
  </si>
  <si>
    <t>UD. Aris Aman Makmur</t>
  </si>
  <si>
    <t>Molding</t>
  </si>
  <si>
    <t>m3/thn</t>
  </si>
  <si>
    <t>Jati,mahoni</t>
  </si>
  <si>
    <t>Gambirejo, Kel.Warujayeng</t>
  </si>
  <si>
    <t>M.Sofyan</t>
  </si>
  <si>
    <t>batu bata</t>
  </si>
  <si>
    <t>tanah liat</t>
  </si>
  <si>
    <t>reet</t>
  </si>
  <si>
    <t>Sugito</t>
  </si>
  <si>
    <t>buah/hri</t>
  </si>
  <si>
    <t>M. Ruslim</t>
  </si>
  <si>
    <t>Sudarwanto</t>
  </si>
  <si>
    <t>Ngademan</t>
  </si>
  <si>
    <t>Kosim</t>
  </si>
  <si>
    <t>Suwarno</t>
  </si>
  <si>
    <t>Samiran</t>
  </si>
  <si>
    <t>Dsn.Duwel, Ds.sukorejo</t>
  </si>
  <si>
    <t xml:space="preserve">TKS Super </t>
  </si>
  <si>
    <t>pik up</t>
  </si>
  <si>
    <t>Arif</t>
  </si>
  <si>
    <t>Anik Winarti</t>
  </si>
  <si>
    <t>TKS</t>
  </si>
  <si>
    <t>Gtg Stgh Jadi</t>
  </si>
  <si>
    <t>KOKB</t>
  </si>
  <si>
    <t>tanah liat/pasir</t>
  </si>
  <si>
    <t>colt</t>
  </si>
  <si>
    <t>TKS LPM</t>
  </si>
  <si>
    <t>Gambirejo, Kel Warujayeng</t>
  </si>
  <si>
    <t>Riyanto</t>
  </si>
  <si>
    <t>Batu Bata</t>
  </si>
  <si>
    <t>Dsn.Karoan, Ds. Tiripan</t>
  </si>
  <si>
    <t>UD Sumber Urip</t>
  </si>
  <si>
    <t>Meubel</t>
  </si>
  <si>
    <t>m3/bln</t>
  </si>
  <si>
    <t>Bintang Super</t>
  </si>
  <si>
    <t>Jaemun</t>
  </si>
  <si>
    <t>Nyoto</t>
  </si>
  <si>
    <t>Dsn/Ds Kerepkidul</t>
  </si>
  <si>
    <t>Yulianti</t>
  </si>
  <si>
    <t>Kendi 1/2 Jadi</t>
  </si>
  <si>
    <t>Juminah</t>
  </si>
  <si>
    <t>Dsn.Dukuhan, Ds. Tiripan</t>
  </si>
  <si>
    <t>Joko Sambang</t>
  </si>
  <si>
    <t>Jasa Gergaji</t>
  </si>
  <si>
    <t>m3/bulan</t>
  </si>
  <si>
    <t>Parji</t>
  </si>
  <si>
    <t>kendi</t>
  </si>
  <si>
    <t>pikul</t>
  </si>
  <si>
    <t>Samidah</t>
  </si>
  <si>
    <t>Wati</t>
  </si>
  <si>
    <t>Kastari Wijaya</t>
  </si>
  <si>
    <t>celengan</t>
  </si>
  <si>
    <t>Sulaiman / Suparti</t>
  </si>
  <si>
    <t>Sugianto</t>
  </si>
  <si>
    <t>Wasito</t>
  </si>
  <si>
    <t>Damiran</t>
  </si>
  <si>
    <t>Abdur Rochman</t>
  </si>
  <si>
    <t>Repair, jasa</t>
  </si>
  <si>
    <t>Cat, besi</t>
  </si>
  <si>
    <t>kg/bln</t>
  </si>
  <si>
    <t>UD Asafah Jaya</t>
  </si>
  <si>
    <t>jati, mahoni</t>
  </si>
  <si>
    <t>Suwono / Musrifah</t>
  </si>
  <si>
    <t>Jilah</t>
  </si>
  <si>
    <t>Lasmo</t>
  </si>
  <si>
    <t>colt/bln</t>
  </si>
  <si>
    <t>Yahmi</t>
  </si>
  <si>
    <t>Juwarni/ Saimah</t>
  </si>
  <si>
    <t>kendi 1/2 jd</t>
  </si>
  <si>
    <t>bh/hr</t>
  </si>
  <si>
    <t>Sumanto</t>
  </si>
  <si>
    <t>colt/msm</t>
  </si>
  <si>
    <t>UD TIMBUL JAYA</t>
  </si>
  <si>
    <t>JL Raya loceret malangsari</t>
  </si>
  <si>
    <t>UD ZAM ZAMI</t>
  </si>
  <si>
    <t>Tas</t>
  </si>
  <si>
    <t>Mitasi</t>
  </si>
  <si>
    <t>511.3/2249/411.306/2012</t>
  </si>
  <si>
    <t>RT 1  RW 1 Tegaron</t>
  </si>
  <si>
    <t>UD BINTANG JAYA</t>
  </si>
  <si>
    <t>Kopi Bubuk</t>
  </si>
  <si>
    <t>Kopi,jagung</t>
  </si>
  <si>
    <t>511.3/2219/411.306/2010</t>
  </si>
  <si>
    <t>Dsn grapah musir lor</t>
  </si>
  <si>
    <t>UD JATI LESTARI</t>
  </si>
  <si>
    <t>511.3/1771/411.306/2012</t>
  </si>
  <si>
    <t>DS TEMBARAK</t>
  </si>
  <si>
    <t>UD REGINA BAKERI</t>
  </si>
  <si>
    <t>Roti</t>
  </si>
  <si>
    <t>Tepung terigu</t>
  </si>
  <si>
    <t>511.3/105/411.306/2012</t>
  </si>
  <si>
    <t xml:space="preserve">JL EMPU SENDOK CANDIREJO </t>
  </si>
  <si>
    <t>UD MIKO KOPI JAYA BESAMA</t>
  </si>
  <si>
    <t>511.3/3159/411.306/2010</t>
  </si>
  <si>
    <t xml:space="preserve"> UD SUMBER REJEKI</t>
  </si>
  <si>
    <t>536/2520/411.306/2012</t>
  </si>
  <si>
    <t>Ds. Kelutan</t>
  </si>
  <si>
    <t>UD  BERKAT USAHA</t>
  </si>
  <si>
    <t xml:space="preserve">    534/1446/411.306/2012</t>
  </si>
  <si>
    <t>UD  MARGO MULYO</t>
  </si>
  <si>
    <t xml:space="preserve">   511.3/611/411.306/2012</t>
  </si>
  <si>
    <t>Ds. Sombron</t>
  </si>
  <si>
    <t>UD  FLY SMASH</t>
  </si>
  <si>
    <t>bulu enthok</t>
  </si>
  <si>
    <t>Box</t>
  </si>
  <si>
    <t>511.3/1091/411.306/2012</t>
  </si>
  <si>
    <t>Ds. Maguan</t>
  </si>
  <si>
    <t>UD  ADI JAYA</t>
  </si>
  <si>
    <t>511.3/544/411.306/2012</t>
  </si>
  <si>
    <t>UD  LANGGENG JAYA</t>
  </si>
  <si>
    <t>511.3/865/411.306/2012</t>
  </si>
  <si>
    <t>Ds. Klodan</t>
  </si>
  <si>
    <t>UD  MULYO SARI</t>
  </si>
  <si>
    <t>511.3/801/411.306/2012</t>
  </si>
  <si>
    <t>Ds. Blongko</t>
  </si>
  <si>
    <t>UD  AMELIA MEBEL</t>
  </si>
  <si>
    <t>511.3/1789/411.306/2012</t>
  </si>
  <si>
    <t>Ds. Kalianyar</t>
  </si>
  <si>
    <t>UD  BERSAMA</t>
  </si>
  <si>
    <t>btng</t>
  </si>
  <si>
    <t>garam grasak</t>
  </si>
  <si>
    <t>511.3/779/411.306/2012</t>
  </si>
  <si>
    <t>Ds. Katerban</t>
  </si>
  <si>
    <t>UD  WAKHID MEBEL</t>
  </si>
  <si>
    <t>511.3/260/411.306/2012</t>
  </si>
  <si>
    <t>Ds. Baron</t>
  </si>
  <si>
    <t>UD  BERKAH BERSAUDARA</t>
  </si>
  <si>
    <t>511.3/540/411.306/2012</t>
  </si>
  <si>
    <t>Ds. Prayungan</t>
  </si>
  <si>
    <t>UD  PUJI LESTARI</t>
  </si>
  <si>
    <t>Loster</t>
  </si>
  <si>
    <t>511.3/1632/411.306/2012</t>
  </si>
  <si>
    <t>Ds. Ketandan</t>
  </si>
  <si>
    <t xml:space="preserve"> UD SINAR JAYA</t>
  </si>
  <si>
    <t>511.3/1635/411.306/2012</t>
  </si>
  <si>
    <t>Ds. Balonggebang</t>
  </si>
  <si>
    <t>UD  MUSTIKA KEMBAR</t>
  </si>
  <si>
    <t>UD  AKAR SUBUR</t>
  </si>
  <si>
    <t>akar jati</t>
  </si>
  <si>
    <t>511.3/2385/411.306/2012</t>
  </si>
  <si>
    <t>Ds. Campur</t>
  </si>
  <si>
    <t>UD  CHANDRA FURNITUR</t>
  </si>
  <si>
    <t>511.3/1380/411.306/2012</t>
  </si>
  <si>
    <t>Ds. Sumberagung</t>
  </si>
  <si>
    <t>UD  JATI AGUNG</t>
  </si>
  <si>
    <t>511.3/34/411.306/2012</t>
  </si>
  <si>
    <t>Ds. Kedungpadang</t>
  </si>
  <si>
    <t>UD  SIDO MAKMUR</t>
  </si>
  <si>
    <t>511.3/1415/411.306/2012</t>
  </si>
  <si>
    <t>Ds. Tanjungtani</t>
  </si>
  <si>
    <t>UD  SUMBER BARU ASLI</t>
  </si>
  <si>
    <t>Sari buah</t>
  </si>
  <si>
    <t>krat</t>
  </si>
  <si>
    <t>air,gula,</t>
  </si>
  <si>
    <t>34566/1440</t>
  </si>
  <si>
    <t>ltr,kg</t>
  </si>
  <si>
    <t>511.3/85/411.306/2012</t>
  </si>
  <si>
    <t>UD  QOYUM</t>
  </si>
  <si>
    <t>274/13.29/TDUP/XII/1998</t>
  </si>
  <si>
    <t>UD  NIA JAYA</t>
  </si>
  <si>
    <t>Rapia</t>
  </si>
  <si>
    <t>lit/sak bekas</t>
  </si>
  <si>
    <t>72000/230400</t>
  </si>
  <si>
    <t>511.3/2848/411.306/2012</t>
  </si>
  <si>
    <t>UD  TOP</t>
  </si>
  <si>
    <t>pack</t>
  </si>
  <si>
    <t>511.3/1866/411.306/2013</t>
  </si>
  <si>
    <t>ANUGRAH JATI</t>
  </si>
  <si>
    <t>511.3/2291/411.306/2012</t>
  </si>
  <si>
    <t>Ds. Sumberkepuh</t>
  </si>
  <si>
    <t>JAYENG BATUR</t>
  </si>
  <si>
    <t>jamur</t>
  </si>
  <si>
    <t>534/1808/411.306/2012</t>
  </si>
  <si>
    <t>IMELDA JAYA</t>
  </si>
  <si>
    <t>konveksi</t>
  </si>
  <si>
    <t>511.3/811/411.306/2011</t>
  </si>
  <si>
    <t>DS JOHO</t>
  </si>
  <si>
    <t>AKAR JATI MULYA</t>
  </si>
  <si>
    <t>511.3/3352/411.306/2011</t>
  </si>
  <si>
    <t>LANGIT BIRU</t>
  </si>
  <si>
    <t>511.3/1553/411.306/2013</t>
  </si>
  <si>
    <t>INDERA MEBEL</t>
  </si>
  <si>
    <t>511.3/2235/411.306/2013</t>
  </si>
  <si>
    <t>DS GEMENGGENG</t>
  </si>
  <si>
    <t>USAHA JAYA</t>
  </si>
  <si>
    <t>Tepung gaplek</t>
  </si>
  <si>
    <t>gaplek</t>
  </si>
  <si>
    <t>12808/WJP.12/KP.1303/07</t>
  </si>
  <si>
    <t>DS SINGKALANYAR</t>
  </si>
  <si>
    <t>BELINI</t>
  </si>
  <si>
    <t>Antena TV</t>
  </si>
  <si>
    <t>wajan bolik</t>
  </si>
  <si>
    <t>SIUP.K/167/426.411/2002</t>
  </si>
  <si>
    <t>DS BANJARANYAR</t>
  </si>
  <si>
    <t>SUKA ABADI JAYA</t>
  </si>
  <si>
    <t>SAWAHAN</t>
  </si>
  <si>
    <t>HARMAJI</t>
  </si>
  <si>
    <t>KAMBALI</t>
  </si>
  <si>
    <t>NUR HASIM</t>
  </si>
  <si>
    <t>IMAM GOZALI</t>
  </si>
  <si>
    <t>SUWARNO</t>
  </si>
  <si>
    <t>TEMBARAK</t>
  </si>
  <si>
    <t>SUNOTO</t>
  </si>
  <si>
    <t>KARTOLO</t>
  </si>
  <si>
    <t>SUPRAYITNO</t>
  </si>
  <si>
    <t>SUROTO</t>
  </si>
  <si>
    <t>SAMURI</t>
  </si>
  <si>
    <t>MUH AGUS SANTOSO</t>
  </si>
  <si>
    <t>GUNAWAN</t>
  </si>
  <si>
    <t>KASIADI</t>
  </si>
  <si>
    <t>RUDI HARTONO</t>
  </si>
  <si>
    <t>MINARKO</t>
  </si>
  <si>
    <t>SUYANTO</t>
  </si>
  <si>
    <t>SUMARDI</t>
  </si>
  <si>
    <t>ADI PURWANTO</t>
  </si>
  <si>
    <t>SUPARNO</t>
  </si>
  <si>
    <t>SUTOMO</t>
  </si>
  <si>
    <t>SUPRI</t>
  </si>
  <si>
    <t>MARIYONO</t>
  </si>
  <si>
    <t>SETUWANTO</t>
  </si>
  <si>
    <t>ISNADI</t>
  </si>
  <si>
    <t>SORIKIN</t>
  </si>
  <si>
    <t>MUSTAJAB</t>
  </si>
  <si>
    <t>SALIMIN</t>
  </si>
  <si>
    <t>BAMBANG GATUT WIDODO</t>
  </si>
  <si>
    <t>MISWAN ARIF</t>
  </si>
  <si>
    <t>SURADI</t>
  </si>
  <si>
    <t>SUPINAH</t>
  </si>
  <si>
    <t>WIJIANTOK</t>
  </si>
  <si>
    <t>SUKARNO</t>
  </si>
  <si>
    <t>HARIONO</t>
  </si>
  <si>
    <t>DS MOJOAGUNG</t>
  </si>
  <si>
    <t>ARIF</t>
  </si>
  <si>
    <t>Topeng</t>
  </si>
  <si>
    <t>spon,kayu,engsel</t>
  </si>
  <si>
    <t>1200/12rb/192</t>
  </si>
  <si>
    <t>lbr/stel/ljr</t>
  </si>
  <si>
    <t>KANTIONO</t>
  </si>
  <si>
    <t>15rb/36rb/576</t>
  </si>
  <si>
    <t>WUWUH ARI SETIAWAN</t>
  </si>
  <si>
    <t>7,2rb/72rb/1151</t>
  </si>
  <si>
    <t>MOH MASHURI</t>
  </si>
  <si>
    <t>4,8rb/48rb/768</t>
  </si>
  <si>
    <t>SUPRAPTO</t>
  </si>
  <si>
    <t>2,4rb/24rb/384</t>
  </si>
  <si>
    <t>DAMIRIN</t>
  </si>
  <si>
    <t>250/30000/492</t>
  </si>
  <si>
    <t>DS BODOR</t>
  </si>
  <si>
    <t>BERKAH JEPANG JAYA</t>
  </si>
  <si>
    <t>511.3/1254/411.306/2013</t>
  </si>
  <si>
    <t>DS JETIS</t>
  </si>
  <si>
    <t>SUPARMI</t>
  </si>
  <si>
    <t>Bawang goreng</t>
  </si>
  <si>
    <t>DS KEPANJEN</t>
  </si>
  <si>
    <t>REJEKI</t>
  </si>
  <si>
    <t>511.3/64/411.306/2010</t>
  </si>
  <si>
    <t>DS BANARAN</t>
  </si>
  <si>
    <t>NAFIS JAYA</t>
  </si>
  <si>
    <t>tepung</t>
  </si>
  <si>
    <t>WIWIK YULAIKAH</t>
  </si>
  <si>
    <t>DS JATIGREGES</t>
  </si>
  <si>
    <t>DARDIRI</t>
  </si>
  <si>
    <t>DS SANAN</t>
  </si>
  <si>
    <t>NN</t>
  </si>
  <si>
    <t>Pia kacang hijau</t>
  </si>
  <si>
    <t>DS KECUBUNG</t>
  </si>
  <si>
    <t>BAROKAH</t>
  </si>
  <si>
    <t>Keripik tempe</t>
  </si>
  <si>
    <t>DS MLANDANGAN</t>
  </si>
  <si>
    <t>WIJI HADI PURNOMO</t>
  </si>
  <si>
    <t>Sangkar burung</t>
  </si>
  <si>
    <t>kayu,bambu</t>
  </si>
  <si>
    <t>kg,btg</t>
  </si>
  <si>
    <t>DS SUMBERKEPUH</t>
  </si>
  <si>
    <t>PUTRA JAYA</t>
  </si>
  <si>
    <t>MOH ABDUL GHONI</t>
  </si>
  <si>
    <t>WILIYANTO</t>
  </si>
  <si>
    <t>DS KEDUNGOMBO</t>
  </si>
  <si>
    <t>PRIMA PUTRA</t>
  </si>
  <si>
    <t>DS SONOBEKEL</t>
  </si>
  <si>
    <t>LUTFI TENUN</t>
  </si>
  <si>
    <t>IZZA JAYA</t>
  </si>
  <si>
    <t>Roti Bakery</t>
  </si>
  <si>
    <t>roti bakery</t>
  </si>
  <si>
    <t>Mbatembat</t>
  </si>
  <si>
    <t xml:space="preserve">Konveksi </t>
  </si>
  <si>
    <t>Jl Hos Cokro aminoto IV No. 5A</t>
  </si>
  <si>
    <t>Jamu gendong</t>
  </si>
  <si>
    <t>Jamu</t>
  </si>
  <si>
    <t>gula, kunyit, jahe</t>
  </si>
  <si>
    <t>dsn. Kalipang, Ds Sumberkepuh</t>
  </si>
  <si>
    <t>Edtuko</t>
  </si>
  <si>
    <t>Ds. Bagor Kulon</t>
  </si>
  <si>
    <t>Marning ny siran</t>
  </si>
  <si>
    <t>Batik Lengkong</t>
  </si>
  <si>
    <t>Ds. Jogomerto</t>
  </si>
  <si>
    <t>Batik Jatikalen</t>
  </si>
  <si>
    <t>Ds. Trayang</t>
  </si>
  <si>
    <t>Arti Collection</t>
  </si>
  <si>
    <t>Kerajinan</t>
  </si>
  <si>
    <t>manik-manik</t>
  </si>
  <si>
    <t xml:space="preserve">Dsn Ringinasri 02/02 Ds. Dadapan </t>
  </si>
  <si>
    <t>Si Jempol</t>
  </si>
  <si>
    <t>Usus</t>
  </si>
  <si>
    <t>Jl. Barito VI No. 85 Ling. Keringan</t>
  </si>
  <si>
    <t>Gapit gulung</t>
  </si>
  <si>
    <t xml:space="preserve">Dsn. Jawar Ds. Gemenggeng </t>
  </si>
  <si>
    <t>Anyaman</t>
  </si>
  <si>
    <t>Ds. Semare</t>
  </si>
  <si>
    <t>APE</t>
  </si>
  <si>
    <t>Alat Permainan Edukatif</t>
  </si>
  <si>
    <t>Jl Yos Sudarso No. 80 Nganjuk</t>
  </si>
  <si>
    <t>Souvenir</t>
  </si>
  <si>
    <t xml:space="preserve">Ds. Patranrejo </t>
  </si>
  <si>
    <t>KUB Patra Kirana</t>
  </si>
  <si>
    <t>Kel. Jatirejo</t>
  </si>
  <si>
    <t>gula, tepung</t>
  </si>
  <si>
    <t>Wong bayu</t>
  </si>
  <si>
    <t>Kerupuk Ikan</t>
  </si>
  <si>
    <t>ikan, tepung</t>
  </si>
  <si>
    <t>Ds. Ngetos</t>
  </si>
  <si>
    <t>Batik anak angin</t>
  </si>
  <si>
    <t>Ds. Jatikalen</t>
  </si>
  <si>
    <t>Kel. Bogo</t>
  </si>
  <si>
    <t>Sirup secang</t>
  </si>
  <si>
    <t>Minuman</t>
  </si>
  <si>
    <t>air, gula, secang</t>
  </si>
  <si>
    <t>jl. wahid hasyim No. 30 kel kauman</t>
  </si>
  <si>
    <t>Aneka keripik</t>
  </si>
  <si>
    <t>nganjuk</t>
  </si>
  <si>
    <t>Brownies</t>
  </si>
  <si>
    <t>Keripik gadung</t>
  </si>
  <si>
    <t>gadung</t>
  </si>
  <si>
    <t>Jl pandan No. 24 Kel Ganung Kidul</t>
  </si>
  <si>
    <t>Ds. Gondang kulon</t>
  </si>
  <si>
    <t>Jamu bu lurah</t>
  </si>
  <si>
    <t>kunyit, jahe</t>
  </si>
  <si>
    <t>Dsn. Dadi Ds Genjeng</t>
  </si>
  <si>
    <t>Rengginang ketela</t>
  </si>
  <si>
    <t>Rengginang</t>
  </si>
  <si>
    <t>Kel Ganung kidul</t>
  </si>
  <si>
    <t>Sambal pecel</t>
  </si>
  <si>
    <t>cabai, kacang tanah</t>
  </si>
  <si>
    <t>ds. Banjaranyar</t>
  </si>
  <si>
    <t>Kerupuk</t>
  </si>
  <si>
    <t>bungkus</t>
  </si>
  <si>
    <t>Ds Bagor Kulon</t>
  </si>
  <si>
    <t>Desa Sombron</t>
  </si>
  <si>
    <t>Batik basongan</t>
  </si>
  <si>
    <t>sambikenceng</t>
  </si>
  <si>
    <t>katerban</t>
  </si>
  <si>
    <t>Kacang open</t>
  </si>
  <si>
    <t>kacang tanah</t>
  </si>
  <si>
    <t>Roti bolu</t>
  </si>
  <si>
    <t>patianrowo</t>
  </si>
  <si>
    <t>kerajinan</t>
  </si>
  <si>
    <t>Kapas RT 02 RW 05</t>
  </si>
  <si>
    <t>Kapas RT 03 RW 05</t>
  </si>
  <si>
    <t>Karangrejo RT 04 RW 01, Kel.Kapas</t>
  </si>
  <si>
    <t xml:space="preserve">Kasur </t>
  </si>
  <si>
    <t>Jatirejo RT 02 RW 02, Kel.Kapas</t>
  </si>
  <si>
    <t>Jatirejo RT 03 RW 02, Kel.Kapas</t>
  </si>
  <si>
    <t>Santren RT 01 RW 03, Kel. Kapas</t>
  </si>
  <si>
    <t>Getuk Singkong</t>
  </si>
  <si>
    <t>Gethuk Singkong</t>
  </si>
  <si>
    <t>Koripan RT 08 RW 01, Kel. Kapas</t>
  </si>
  <si>
    <t>Aneka Kue</t>
  </si>
  <si>
    <t>Koripan RT 04 RW 08, Kel. Kapas</t>
  </si>
  <si>
    <t>Koripan RT 02 RW 08, Kel. Kapas</t>
  </si>
  <si>
    <t>Koripan RT 03 RW 08, Kel. Kapas</t>
  </si>
  <si>
    <t>bulu ayam dan entok</t>
  </si>
  <si>
    <t>Koripan RT 01 RW 08, Kel. Kapas</t>
  </si>
  <si>
    <t>Ds.Tanjungrejo</t>
  </si>
  <si>
    <t>tapioka</t>
  </si>
  <si>
    <t>Dsn. Beran, Ds. Tanjungrejo</t>
  </si>
  <si>
    <t>Kacang Goreng</t>
  </si>
  <si>
    <t>Dsn. Pugruk, Ds. Tanjungrejo</t>
  </si>
  <si>
    <t>Gelondong</t>
  </si>
  <si>
    <t>kertas</t>
  </si>
  <si>
    <t>Ds. Sonobekel</t>
  </si>
  <si>
    <t>Sangkar Burung</t>
  </si>
  <si>
    <t>Dsn. Pulerejo, Ds. Bendungrejo</t>
  </si>
  <si>
    <t>Creative Centra Produksi Sangkar</t>
  </si>
  <si>
    <t>Ds. Kartoharjo</t>
  </si>
  <si>
    <t>UD. Sahabat</t>
  </si>
  <si>
    <t>CV. Ar Rahman</t>
  </si>
  <si>
    <t>Dk.Jimbir, Ds. Sugihwaras</t>
  </si>
  <si>
    <t>UD. Gendis Jaya Kapring</t>
  </si>
  <si>
    <t>ruji sangkar burung, tongkat pramuka</t>
  </si>
  <si>
    <t>kayu, bambu</t>
  </si>
  <si>
    <t>Batik Ulul Albab</t>
  </si>
  <si>
    <t>Kel. Kartoharjo</t>
  </si>
  <si>
    <t>Batik Kartoharjo</t>
  </si>
  <si>
    <t>Enaxno</t>
  </si>
  <si>
    <t>kotoran kelinci</t>
  </si>
  <si>
    <t>Merdeka Advertising</t>
  </si>
  <si>
    <t>pigura</t>
  </si>
  <si>
    <t>Batik Karyadi (Wilangan)</t>
  </si>
  <si>
    <t>KUB Akar Jati</t>
  </si>
  <si>
    <t>meubel</t>
  </si>
  <si>
    <t>Jl. Wilis, Ganung Kidul</t>
  </si>
  <si>
    <t>Amalinda (Brownies Manten)</t>
  </si>
  <si>
    <t>brownies</t>
  </si>
  <si>
    <t>gas</t>
  </si>
  <si>
    <t>Ds. Lengkong</t>
  </si>
  <si>
    <t>Kika Collection</t>
  </si>
  <si>
    <t>kerajinan kain flanel</t>
  </si>
  <si>
    <t>kain flanel</t>
  </si>
  <si>
    <t>Ds. Sukorejo</t>
  </si>
  <si>
    <t>Zuka Rasa</t>
  </si>
  <si>
    <t>abon lele</t>
  </si>
  <si>
    <t>ikan lele</t>
  </si>
  <si>
    <t>Sri Karlina</t>
  </si>
  <si>
    <t>Jl Tumenggunng Irosroyo RT 03/RW 05 Pacewetan</t>
  </si>
  <si>
    <t>Ayesa Konveksi</t>
  </si>
  <si>
    <t>jilbab, seragam, kaos, training</t>
  </si>
  <si>
    <t xml:space="preserve">Perum Sima Sambijajar D9 </t>
  </si>
  <si>
    <t>The Chocolate</t>
  </si>
  <si>
    <t>cokelat</t>
  </si>
  <si>
    <t>regional</t>
  </si>
  <si>
    <t>Dsn. Sambirejo, Ds Katerban</t>
  </si>
  <si>
    <t>Rambut Nenek</t>
  </si>
  <si>
    <t>arum manis</t>
  </si>
  <si>
    <t>gula</t>
  </si>
  <si>
    <t>Jl. Wilis II b</t>
  </si>
  <si>
    <t>JM Boneka</t>
  </si>
  <si>
    <t>boneka</t>
  </si>
  <si>
    <t>dacron</t>
  </si>
  <si>
    <t>Ds. Sambiroto</t>
  </si>
  <si>
    <t>Sulam Pita</t>
  </si>
  <si>
    <t>Tas, Sarung Bantal</t>
  </si>
  <si>
    <t>Kain, Benang</t>
  </si>
  <si>
    <t>Diana Konveksi</t>
  </si>
  <si>
    <t>Konveksi Pakaian</t>
  </si>
  <si>
    <t>Tas, Mukena, Taplak Meja</t>
  </si>
  <si>
    <t>Ds. Sumberwindu</t>
  </si>
  <si>
    <t>muji setyorini</t>
  </si>
  <si>
    <t>fitriyah</t>
  </si>
  <si>
    <t>miftahul janah</t>
  </si>
  <si>
    <t>suparmi</t>
  </si>
  <si>
    <t>sudarmi</t>
  </si>
  <si>
    <t>nanik sriani</t>
  </si>
  <si>
    <t>sutini</t>
  </si>
  <si>
    <t>darmiatun</t>
  </si>
  <si>
    <t>sukinem</t>
  </si>
  <si>
    <t>asmini</t>
  </si>
  <si>
    <t>sukini</t>
  </si>
  <si>
    <t>harmini</t>
  </si>
  <si>
    <t>juwarsih</t>
  </si>
  <si>
    <t>nurul khasanah</t>
  </si>
  <si>
    <t>yatinem</t>
  </si>
  <si>
    <t>marni</t>
  </si>
  <si>
    <t>mujiati</t>
  </si>
  <si>
    <t>satiani</t>
  </si>
  <si>
    <t>sumiati</t>
  </si>
  <si>
    <t>darsih</t>
  </si>
  <si>
    <t>sutiyah</t>
  </si>
  <si>
    <t>siti munawaroh</t>
  </si>
  <si>
    <t>Dk. Morobau, Ds. Kerepkidul</t>
  </si>
  <si>
    <t>Mariatun</t>
  </si>
  <si>
    <t>Rempah-Rempah</t>
  </si>
  <si>
    <t>Suwarni</t>
  </si>
  <si>
    <t>Wargi</t>
  </si>
  <si>
    <t>Suharsini</t>
  </si>
  <si>
    <t>Sukarti</t>
  </si>
  <si>
    <t>Suminem</t>
  </si>
  <si>
    <t>Jinah</t>
  </si>
  <si>
    <t>Iin Sriwahyuni</t>
  </si>
  <si>
    <t>Sudarmini</t>
  </si>
  <si>
    <t>Mujiastutik</t>
  </si>
  <si>
    <t>Kain, Malam</t>
  </si>
  <si>
    <t>Perumnas Candirejo Blok K21</t>
  </si>
  <si>
    <t>CV Indonesia Kita</t>
  </si>
  <si>
    <t>Ds. Dingin</t>
  </si>
  <si>
    <t>Zahra</t>
  </si>
  <si>
    <t>Aneka Keripik</t>
  </si>
  <si>
    <t>Pisang, Tepung</t>
  </si>
  <si>
    <t>JavRice Agribisnis</t>
  </si>
  <si>
    <t>Beras Merah, Kopi</t>
  </si>
  <si>
    <t>Kauman</t>
  </si>
  <si>
    <t>Tito</t>
  </si>
  <si>
    <t>Pisang, Talas</t>
  </si>
  <si>
    <t>Jl Kopral Usman No. 48</t>
  </si>
  <si>
    <t>Linda Kitchen</t>
  </si>
  <si>
    <t>Sambal Geledek</t>
  </si>
  <si>
    <t>Perumnas Candirejo</t>
  </si>
  <si>
    <t>Mak Lin</t>
  </si>
  <si>
    <t>Sambal Bawang Goreng</t>
  </si>
  <si>
    <t>Jl. Bengawan Solo No. 10</t>
  </si>
  <si>
    <t>Wisanggeni</t>
  </si>
  <si>
    <t>Sambal Pecel, Kopi</t>
  </si>
  <si>
    <t>Kacang tanah, Kopi</t>
  </si>
  <si>
    <t>Jl Merdeka</t>
  </si>
  <si>
    <t>De'Siska</t>
  </si>
  <si>
    <t>Aneka Kue dan Kopi Rempah</t>
  </si>
  <si>
    <t>Tepung, rempah-rempah</t>
  </si>
  <si>
    <t>TingKo</t>
  </si>
  <si>
    <t>Kerajinan Lintingan Koran</t>
  </si>
  <si>
    <t>Koran</t>
  </si>
  <si>
    <t>Jl Abdurrachman Saleh No. 24</t>
  </si>
  <si>
    <t>Guler Chocolate</t>
  </si>
  <si>
    <t>Jl Monginsidi No. 84</t>
  </si>
  <si>
    <t>Rifan Cake &amp; Cookies</t>
  </si>
  <si>
    <t>Telur Asin Bang Agus</t>
  </si>
  <si>
    <t>Butir</t>
  </si>
  <si>
    <t>Telur Bebek</t>
  </si>
  <si>
    <t>butir</t>
  </si>
  <si>
    <t>Jaheku</t>
  </si>
  <si>
    <t>Jahe Instan, Kunyit Asam</t>
  </si>
  <si>
    <t>Jahe, Kunyit</t>
  </si>
  <si>
    <t>Rohmat Cookies</t>
  </si>
  <si>
    <t>Ds. Tanjung</t>
  </si>
  <si>
    <t>Bima Tas</t>
  </si>
  <si>
    <t>Tas Hajatan</t>
  </si>
  <si>
    <t>Kain</t>
  </si>
  <si>
    <t>roll</t>
  </si>
  <si>
    <t>Jl. Gatot Subroto No. 58, RT/RW 04/04, Kel. Kauman</t>
  </si>
  <si>
    <t>NIRWANA</t>
  </si>
  <si>
    <t xml:space="preserve">Beras Kencur, Sinom </t>
  </si>
  <si>
    <t>kunyit, jahe, sinom</t>
  </si>
  <si>
    <t>Ds. Pisang, RT/RW 03/03</t>
  </si>
  <si>
    <t>NOVITA SNACK</t>
  </si>
  <si>
    <t xml:space="preserve">Aneka Kue </t>
  </si>
  <si>
    <t>Ds. Demangan RT/RW 01/02</t>
  </si>
  <si>
    <t>RAHMAT</t>
  </si>
  <si>
    <t xml:space="preserve">Aneka Olahan Lele </t>
  </si>
  <si>
    <t>Ds. Dingin RT/RW 03/06</t>
  </si>
  <si>
    <t>ZHAHRA</t>
  </si>
  <si>
    <t>Ds. Gondangkulon RT/RW 08/02</t>
  </si>
  <si>
    <t>BU KAJI ANIS</t>
  </si>
  <si>
    <t xml:space="preserve">Sambal Pecel </t>
  </si>
  <si>
    <t>Kacang tanah</t>
  </si>
  <si>
    <t xml:space="preserve">Jl. AS TUBUN  I No. 25 </t>
  </si>
  <si>
    <t>MACARON _ ID</t>
  </si>
  <si>
    <t>Ds. Sanggrahan RT/RW 08/03</t>
  </si>
  <si>
    <t>AZLA</t>
  </si>
  <si>
    <t>Ds. Godean RT/RW 02/01</t>
  </si>
  <si>
    <t>AG</t>
  </si>
  <si>
    <t>Ds. Banjaranyar RT/RW 02/01</t>
  </si>
  <si>
    <t>AGHITSNA</t>
  </si>
  <si>
    <t>Ds. Tanjungtani RT/RW 16/05</t>
  </si>
  <si>
    <t>NUMA TANJUNG</t>
  </si>
  <si>
    <t xml:space="preserve">Keripik Tempe </t>
  </si>
  <si>
    <t>Ds. Tanjungtani RT/RW 20/06</t>
  </si>
  <si>
    <t>RIZKI TANJUNG</t>
  </si>
  <si>
    <t>PRIMA TANJUNG</t>
  </si>
  <si>
    <t>Ds. Tanjungtani RT/RW 14/04</t>
  </si>
  <si>
    <t>CAHYA TANJUNG</t>
  </si>
  <si>
    <t>Ds. Tanjungtani RT/RW 12/04</t>
  </si>
  <si>
    <t>SEKAR TANJUNG</t>
  </si>
  <si>
    <t>PUTRA TANJUNG</t>
  </si>
  <si>
    <t>Ds. Tanjungtani RT/RW 17/05</t>
  </si>
  <si>
    <t>TANJUNG BERKAH</t>
  </si>
  <si>
    <t xml:space="preserve">JL. WR. SUPRATMAN NO.48 </t>
  </si>
  <si>
    <t>KITCHEN JAYA</t>
  </si>
  <si>
    <t>Jl. Tidar RT/RW 03/02 Batembat</t>
  </si>
  <si>
    <t>MAS BRENG</t>
  </si>
  <si>
    <t xml:space="preserve">Berambang Goreng </t>
  </si>
  <si>
    <t>Jl. A. Yani No. 422</t>
  </si>
  <si>
    <t>SAMBEL PECEL MAK'YI</t>
  </si>
  <si>
    <t>Ds. Jekek RT/RW 01/08</t>
  </si>
  <si>
    <t>SINDHU JAYA</t>
  </si>
  <si>
    <t>Jl. Janoko RT/RW 07/03 Guyangan</t>
  </si>
  <si>
    <t>TELUR ASIN  " T &amp; S "</t>
  </si>
  <si>
    <t xml:space="preserve">Telur Asin </t>
  </si>
  <si>
    <t>Jl. Supriyadi No. 26 RT/RW 01/02, Ds. Kauman</t>
  </si>
  <si>
    <t>SAMBEL ECLOK MBAK YANTI</t>
  </si>
  <si>
    <t>Jl. Srigadis No. 41 RT/RW 01/01, Ds. Pecuk</t>
  </si>
  <si>
    <t>CANA SNACK</t>
  </si>
  <si>
    <t>Jl. Srigadis RT/RW 01/01, Ds. Pecuk</t>
  </si>
  <si>
    <t>F &amp; F  SNACK</t>
  </si>
  <si>
    <t xml:space="preserve">Aneka Keripik </t>
  </si>
  <si>
    <t>Ds. Katerban RT/RW 02/01</t>
  </si>
  <si>
    <t>ZIE FOOD</t>
  </si>
  <si>
    <t xml:space="preserve">Perum Villa Candimas Blok G No. 1 </t>
  </si>
  <si>
    <t>SAE KOPI ROBUSTA</t>
  </si>
  <si>
    <t>Ds. Kebonagung RT/RW 03/05,</t>
  </si>
  <si>
    <t>TSUROYYA</t>
  </si>
  <si>
    <t xml:space="preserve">Ds. Gejagan RT/RW 02/01, </t>
  </si>
  <si>
    <t>NING'S KROMOKARSO</t>
  </si>
  <si>
    <t>Ds. Cerme RT/RW 01/06</t>
  </si>
  <si>
    <t>KARUNIA JAYA ABADI</t>
  </si>
  <si>
    <t>Jl. Diponegoro RT/RW 05/01, Ds.Ngadipiro</t>
  </si>
  <si>
    <t>AZIZAH SNACK</t>
  </si>
  <si>
    <t>Jl. Lawu I No.32 RT/RW 02/01 Kramat</t>
  </si>
  <si>
    <t>SI BAGONG</t>
  </si>
  <si>
    <t>Ds. Babadan RT/RW 01/01</t>
  </si>
  <si>
    <t>USAHA MANDIRI</t>
  </si>
  <si>
    <t>Jl. Teuku Umar 25 B</t>
  </si>
  <si>
    <t>UNGGUL SARI</t>
  </si>
  <si>
    <t>Dsn.Kerajan RT/RW 05/06</t>
  </si>
  <si>
    <t>Dsn.Jabon RT/RW 04/03</t>
  </si>
  <si>
    <t>ANEKA RASA</t>
  </si>
  <si>
    <t>Ds. Kutorejo RT/RW 011/005</t>
  </si>
  <si>
    <t>SUMBER REJEKI</t>
  </si>
  <si>
    <t>Jl.Bengawan Solo VIII No.98 RT/RW 03/02 Begadung</t>
  </si>
  <si>
    <t>SURYA JAYA</t>
  </si>
  <si>
    <t>Jl.Raung RT/RW 20/07 Ds.Gondang</t>
  </si>
  <si>
    <t>ALFIKA</t>
  </si>
  <si>
    <t>Desa Sonoageng RT/RW 35/09</t>
  </si>
  <si>
    <t>BIMA JAYA FOOD</t>
  </si>
  <si>
    <t>Ds.Bagor Kulon RT/RW 03/01</t>
  </si>
  <si>
    <t>AL FATH</t>
  </si>
  <si>
    <t>Dsn.Nglarangan RT/RW 02/04 Bajulan</t>
  </si>
  <si>
    <t>VINA JAYA</t>
  </si>
  <si>
    <t>Dsn.Dingin RT/RW 04/05</t>
  </si>
  <si>
    <t>SUMEMAMA</t>
  </si>
  <si>
    <t xml:space="preserve">Minuman Sari Kedelai </t>
  </si>
  <si>
    <t>Jl.Melati II No.15 RT/RW 03/02</t>
  </si>
  <si>
    <t>JAYA ABADI</t>
  </si>
  <si>
    <t>Jl.Dr.Sutomo I No.1 Kauman</t>
  </si>
  <si>
    <t>NUGROHO</t>
  </si>
  <si>
    <t xml:space="preserve">Manisan kolang-kaling </t>
  </si>
  <si>
    <t xml:space="preserve">Kolang Kaling </t>
  </si>
  <si>
    <t xml:space="preserve">Desa Ngujung RT/RW 02/02 </t>
  </si>
  <si>
    <t>SRI ASIH</t>
  </si>
  <si>
    <t xml:space="preserve">Madu mongso waluh </t>
  </si>
  <si>
    <t>Waluh</t>
  </si>
  <si>
    <t xml:space="preserve">Desa Kwagean RT/RW 02/03 </t>
  </si>
  <si>
    <t>TAPE MANIS "MBAK ELLA"</t>
  </si>
  <si>
    <t xml:space="preserve">Tape Singkong </t>
  </si>
  <si>
    <t>Desa Balonggebang RT/RW 30/10</t>
  </si>
  <si>
    <t>AUDIRA CAKE</t>
  </si>
  <si>
    <t>Desa Lambangkuning RT/RW 02/03</t>
  </si>
  <si>
    <t>SETIA ABADI</t>
  </si>
  <si>
    <t xml:space="preserve">Desa Joho RT/RW 01/01 </t>
  </si>
  <si>
    <t>GALIH PUTRA</t>
  </si>
  <si>
    <t xml:space="preserve">Jahe Instan </t>
  </si>
  <si>
    <t>Jahe</t>
  </si>
  <si>
    <t xml:space="preserve">Desa Mojorembun RT/RW 01/01 </t>
  </si>
  <si>
    <t>KWT KARYA ABADI</t>
  </si>
  <si>
    <t>Desa Klodan RT/RW 03/05</t>
  </si>
  <si>
    <t>UF3</t>
  </si>
  <si>
    <t xml:space="preserve">Desa Werungotok RT/RW 04/02 </t>
  </si>
  <si>
    <t>ROTI KACANG BAROKAH</t>
  </si>
  <si>
    <t xml:space="preserve">Desa Mojokendil RT/RW 02/02 </t>
  </si>
  <si>
    <t>KERUPUK KEDELAI "RASA MANNA…?"</t>
  </si>
  <si>
    <t xml:space="preserve">Desa Jatirejo RT/RW 06/08 </t>
  </si>
  <si>
    <t>BAWANG GORENG "MBOK YATI"</t>
  </si>
  <si>
    <t xml:space="preserve">Desa Kampungbaru RT/RW 05/05 </t>
  </si>
  <si>
    <t>SAMBAL PECEL NYESS NGANJUK</t>
  </si>
  <si>
    <t>Ds. Kutorejo RT/RW 007/004</t>
  </si>
  <si>
    <t>MAK NYAI</t>
  </si>
  <si>
    <t xml:space="preserve">Minuman </t>
  </si>
  <si>
    <t xml:space="preserve">Desa Ganungkidul RT/RW 01/01 </t>
  </si>
  <si>
    <t>MAKMUR JAYA</t>
  </si>
  <si>
    <t>Desa Sukorejo RT/RW 04/02</t>
  </si>
  <si>
    <t>KARIBAYA</t>
  </si>
  <si>
    <t xml:space="preserve">Aneka Olahan Blimbing </t>
  </si>
  <si>
    <t xml:space="preserve">Jl. Hasanudin No. 61 </t>
  </si>
  <si>
    <t>NABYL BAKERY</t>
  </si>
  <si>
    <t>Desa Sumbersono RT/RW 01/01</t>
  </si>
  <si>
    <t>CAHAYA ABADI</t>
  </si>
  <si>
    <t>Desa Sukorejo RT/RW 03/02</t>
  </si>
  <si>
    <t>SEHAT JAYA</t>
  </si>
  <si>
    <t xml:space="preserve">Ds.Tanjungkalang RT/RW 01/06 </t>
  </si>
  <si>
    <t>DUA PUTRI</t>
  </si>
  <si>
    <t xml:space="preserve">Ds.Gondanglegi RT/RW 02/06 </t>
  </si>
  <si>
    <t>D2 DADI BAROKAH</t>
  </si>
  <si>
    <t xml:space="preserve">Ds.Lestari Gg 2 RT/RW 02/02 </t>
  </si>
  <si>
    <t>SEMUA SUKA</t>
  </si>
  <si>
    <t xml:space="preserve">Jl. Raya Kediri No.105 </t>
  </si>
  <si>
    <t>SNACK 95</t>
  </si>
  <si>
    <t>Ds.Macanan RT/RW 06/01</t>
  </si>
  <si>
    <t>UD " LANCAR JAYA "</t>
  </si>
  <si>
    <t xml:space="preserve">Petis Udang </t>
  </si>
  <si>
    <t xml:space="preserve">Udang </t>
  </si>
  <si>
    <t xml:space="preserve">Ds.Banaran </t>
  </si>
  <si>
    <t>DUA PUTRA</t>
  </si>
  <si>
    <t>PUSPA</t>
  </si>
  <si>
    <t xml:space="preserve">Jl.Wilis No.29 Ds. Tanjung </t>
  </si>
  <si>
    <t>MAUNA COOKIES</t>
  </si>
  <si>
    <t xml:space="preserve">Ds.Tanjungtani RT/RW 16/05 </t>
  </si>
  <si>
    <t>KRIPIK " BU AINI "</t>
  </si>
  <si>
    <t xml:space="preserve">Ds.Bendung Rejo RT/RW 06/03 </t>
  </si>
  <si>
    <t>HIMMA MADU</t>
  </si>
  <si>
    <t xml:space="preserve">Madu </t>
  </si>
  <si>
    <t>Madu</t>
  </si>
  <si>
    <t xml:space="preserve">Jl.MT.Haryono No.35 RT/RW 03/03 Ploso </t>
  </si>
  <si>
    <t>D'MARA</t>
  </si>
  <si>
    <t xml:space="preserve">Jl.MT.Hariyono III No.131 RT/RW 05/05 </t>
  </si>
  <si>
    <t xml:space="preserve">KARUNIA </t>
  </si>
  <si>
    <t xml:space="preserve">Kacang Kulit Sangrai </t>
  </si>
  <si>
    <t xml:space="preserve">Kacang </t>
  </si>
  <si>
    <t xml:space="preserve">Jl.Barito No.136 Begadung </t>
  </si>
  <si>
    <t>BU MAY</t>
  </si>
  <si>
    <t xml:space="preserve">Serundeng </t>
  </si>
  <si>
    <t xml:space="preserve">Kelapa </t>
  </si>
  <si>
    <t xml:space="preserve">Jl.Merdeka No.1A RT/RW 01/01 Mangundikaran </t>
  </si>
  <si>
    <t>MUSTIKA</t>
  </si>
  <si>
    <t>Jl.Barito No.78 RT/RW 04/06 Mangundikaran</t>
  </si>
  <si>
    <t>SHAFA'ATH</t>
  </si>
  <si>
    <t xml:space="preserve">Coklat Karakter </t>
  </si>
  <si>
    <t xml:space="preserve">buah </t>
  </si>
  <si>
    <t xml:space="preserve">Coklat </t>
  </si>
  <si>
    <t xml:space="preserve">Ds.Tanjungkalang RT/RW 03/04 </t>
  </si>
  <si>
    <t>DEWI SRI</t>
  </si>
  <si>
    <t xml:space="preserve">Rempeyek </t>
  </si>
  <si>
    <t>Tepung, kacang</t>
  </si>
  <si>
    <t xml:space="preserve">Ds.Nglinggo RT/RW 02/14 </t>
  </si>
  <si>
    <t>PRIMA BESK</t>
  </si>
  <si>
    <t xml:space="preserve">Ds.Senggowar RT/RW 01/01 </t>
  </si>
  <si>
    <t>Enha</t>
  </si>
  <si>
    <t>Jl.Gubernur Suryo No.2 Kauman</t>
  </si>
  <si>
    <t>UD.SAKINAH</t>
  </si>
  <si>
    <t xml:space="preserve">Ds.Kweden RT/RW 01/01 </t>
  </si>
  <si>
    <t>TUNGGAL EKA</t>
  </si>
  <si>
    <t xml:space="preserve">Ds.Plosoharjo RT/RW 01/02 </t>
  </si>
  <si>
    <t>MOJOPAHIT</t>
  </si>
  <si>
    <t xml:space="preserve">Jl.Monginsidi RT/RW 02/03 Payaman </t>
  </si>
  <si>
    <t>TULIP CAKE</t>
  </si>
  <si>
    <t xml:space="preserve">Ds.Pacekulon RT/RW 02/02 </t>
  </si>
  <si>
    <t>PUTRI BAROKAH</t>
  </si>
  <si>
    <t xml:space="preserve">Ds.Batembat RT/RW 03/01 </t>
  </si>
  <si>
    <t>BERKAH JAYA</t>
  </si>
  <si>
    <t xml:space="preserve">Ds.Pace Wetan RT/RW 03/05 </t>
  </si>
  <si>
    <t xml:space="preserve">BERKAH </t>
  </si>
  <si>
    <t xml:space="preserve">Bakpia </t>
  </si>
  <si>
    <t xml:space="preserve">Buah </t>
  </si>
  <si>
    <t xml:space="preserve">Tepung, kacang hijau </t>
  </si>
  <si>
    <t>dos</t>
  </si>
  <si>
    <t xml:space="preserve">Ds.Macanan RT/RW 08/05 </t>
  </si>
  <si>
    <t>AISYAH</t>
  </si>
  <si>
    <t xml:space="preserve">Rengginang </t>
  </si>
  <si>
    <t xml:space="preserve">Ketan </t>
  </si>
  <si>
    <t xml:space="preserve">Jl. A.Yani No.119 </t>
  </si>
  <si>
    <t>YOYOK BAKERY</t>
  </si>
  <si>
    <t xml:space="preserve">Ds.Ngumpul  RT/RW  03/01 </t>
  </si>
  <si>
    <t>PAK RADEN</t>
  </si>
  <si>
    <t xml:space="preserve">Ds.Kaloran RT/RW 01/06 </t>
  </si>
  <si>
    <t>DUA BAWANG</t>
  </si>
  <si>
    <t xml:space="preserve">Kerupuk Rambak </t>
  </si>
  <si>
    <t xml:space="preserve">Kulit </t>
  </si>
  <si>
    <t xml:space="preserve">Jl.Jaksa Agung Suprapto No.40 </t>
  </si>
  <si>
    <t>ALUNNA</t>
  </si>
  <si>
    <t xml:space="preserve">Ds.Garu RT/RW 05/03 </t>
  </si>
  <si>
    <t>HAKIM JAMUR</t>
  </si>
  <si>
    <t>Pesantren Ds.Bodor</t>
  </si>
  <si>
    <t xml:space="preserve">                         </t>
  </si>
  <si>
    <t xml:space="preserve">Jl.Merdeka II No.3G </t>
  </si>
  <si>
    <t>RUTH "TELUR ASIN"</t>
  </si>
  <si>
    <t xml:space="preserve">Perorangan </t>
  </si>
  <si>
    <t xml:space="preserve">Ds.Kemlokolegi </t>
  </si>
  <si>
    <t xml:space="preserve">UD.BAROKAH </t>
  </si>
  <si>
    <t xml:space="preserve">Kedelai, Tapioka </t>
  </si>
  <si>
    <t xml:space="preserve">Ds.Ngumpul </t>
  </si>
  <si>
    <t xml:space="preserve">Ds.Sumberurip </t>
  </si>
  <si>
    <t>NDORO CRISPY 88</t>
  </si>
  <si>
    <t xml:space="preserve">Keripik Usus </t>
  </si>
  <si>
    <t>Tepung, usus</t>
  </si>
  <si>
    <t xml:space="preserve">lokal </t>
  </si>
  <si>
    <t xml:space="preserve">Ds.Nglaban </t>
  </si>
  <si>
    <t xml:space="preserve">JIPANA SHUTTLECOCK </t>
  </si>
  <si>
    <t xml:space="preserve">JL. GUBERNUR SURYO NO. 02 KEC. NGANJUK </t>
  </si>
  <si>
    <t xml:space="preserve">SAMBAL DESS </t>
  </si>
  <si>
    <t>Lingk.Templek  RT. 003 RW.008 Kec.Sukomoro</t>
  </si>
  <si>
    <t>CYS</t>
  </si>
  <si>
    <t xml:space="preserve">JL. BARITO I NO. 30 RT. 005 RW. 007 Kec.Nganjuk </t>
  </si>
  <si>
    <t xml:space="preserve">MANGUN AYU </t>
  </si>
  <si>
    <t xml:space="preserve">DUSUN SONO RT. 003 RW. 002 DESA SONOPATIK </t>
  </si>
  <si>
    <t xml:space="preserve">YU ANI </t>
  </si>
  <si>
    <t>SAMBEL PECEL</t>
  </si>
  <si>
    <t xml:space="preserve">GANUNG ASRI BLOK D. 16 RT. 006 RW. 003 </t>
  </si>
  <si>
    <t>EBeNP</t>
  </si>
  <si>
    <t xml:space="preserve">DUSUN KARANG TENGAH RT.009 RW. 006 DESA GARU </t>
  </si>
  <si>
    <t>MAKLIK</t>
  </si>
  <si>
    <t>USUS AYAM GORENG TEPUNG</t>
  </si>
  <si>
    <t xml:space="preserve">Pack </t>
  </si>
  <si>
    <t>JL. WILIS NO. 29 RT. 004 RW. 001 KELURAHAN GANUNGKIDUL</t>
  </si>
  <si>
    <t>PUTRO KEMBANG SORE</t>
  </si>
  <si>
    <t xml:space="preserve">KAIN BATIK </t>
  </si>
  <si>
    <t>JL. WILIS NO. 64 RT. 004 RW. 008 KELURAHAN KERAMAT</t>
  </si>
  <si>
    <t>SAMBEL CADAS</t>
  </si>
  <si>
    <t>Sambal Bawang; Sambal Terasi; Sambal Cabe Hijau; Sambal Bajak</t>
  </si>
  <si>
    <t>DUSUN SUMENGKO RT.001 RW.002 DESA SUMENGKO</t>
  </si>
  <si>
    <t>GALUH</t>
  </si>
  <si>
    <t xml:space="preserve">KOK BADMINTON </t>
  </si>
  <si>
    <t>DUSUN NGLINGGO RT. 001 RW. 003 DESA NGLINGGO</t>
  </si>
  <si>
    <t xml:space="preserve">MAKSIH </t>
  </si>
  <si>
    <t>Jamu tiram, jamur kering</t>
  </si>
  <si>
    <t xml:space="preserve">Jamur </t>
  </si>
  <si>
    <t>WATULANANG RT.003 RW. 003 DESA SURU</t>
  </si>
  <si>
    <t xml:space="preserve">GOTREK </t>
  </si>
  <si>
    <t xml:space="preserve">Pisang, Singkong </t>
  </si>
  <si>
    <t>JATIGREGES RT. 001 RW. 004 DESA JATIGREGES</t>
  </si>
  <si>
    <t>JATIWARAS</t>
  </si>
  <si>
    <t>DUSUN SEDAN RT 006 RW.004 DESA KEMLOKOLEGI</t>
  </si>
  <si>
    <t>ABYOSO</t>
  </si>
  <si>
    <t>DUSUN TEMPLEK RT. 002 RW. 008 KEL. SUKOMORO KECAMATAN SUKOMORO</t>
  </si>
  <si>
    <t>UNTSA</t>
  </si>
  <si>
    <t>DUSUN SAMBI JAJAR PERUM SIMA BLOK B NO. 12 RT. 005 RW. 006 DESA KWAGEAN KECAMATAN LOCERET</t>
  </si>
  <si>
    <t>WAHYU SUMINAR</t>
  </si>
  <si>
    <t>JL. CILIWUNG I NO. 04 BULAKMOJO RT. 001 RW. 001  KELURAHAN WERUNGOTOK  KECAMATAN NGANJUK</t>
  </si>
  <si>
    <t>NADATA</t>
  </si>
  <si>
    <t xml:space="preserve">DESA NGLUYU RT. 020 RW. 004 DESA NGLUYU KECAMATAN NGLUYU </t>
  </si>
  <si>
    <t>MINSE</t>
  </si>
  <si>
    <t>Minuman beras kencur; Minuman kunyit asam</t>
  </si>
  <si>
    <t xml:space="preserve">WONOKITRI 1/32-A RT. 006 RW. 002 DESA PAKIS KECAMATAN SAWAHAN </t>
  </si>
  <si>
    <t>KIAZZA</t>
  </si>
  <si>
    <t xml:space="preserve">JALAN DR. SUTOMO II/12, KELURAHAN PAYAMAN KECAMATAN NGANJUK </t>
  </si>
  <si>
    <t>JELUNG AFIQO</t>
  </si>
  <si>
    <t>DS. KEMLOKOLEGI, RT 003 RW.003 DESA KEMLOKOLEGI KEC. BARON</t>
  </si>
  <si>
    <t>SUDARSI</t>
  </si>
  <si>
    <t>DSN. PECUK RT.001 RW.003 DESA PECUK KEC. PATIANROWO</t>
  </si>
  <si>
    <t>BUESTU</t>
  </si>
  <si>
    <t>MAGUAN RT. 01 RW O5 DESA MAGUAN KEC. BERBEK</t>
  </si>
  <si>
    <t>BAITUL ATIEQ</t>
  </si>
  <si>
    <t>DUSUN SANGGRAHAN RT. 003 RW. 006 DESA NGLABAN  KECAMATAN LOCERET</t>
  </si>
  <si>
    <t>JIPANA</t>
  </si>
  <si>
    <t>JL. BARITO II / 16 RT. 001 RW. 007 KELURAHAN MANGUNDIKARAN KECAMATAN NGANJUK</t>
  </si>
  <si>
    <t xml:space="preserve">SUMINAR </t>
  </si>
  <si>
    <t xml:space="preserve">DUSUN TIRIP RT. 006 RW. 002 DESA SUMBERURIP KECAMATAN BERBEK </t>
  </si>
  <si>
    <t>NDORO EKAFA</t>
  </si>
  <si>
    <t>KUNGIRUN</t>
  </si>
  <si>
    <t xml:space="preserve">Perorangan  </t>
  </si>
  <si>
    <t xml:space="preserve">Keripik Singkong </t>
  </si>
  <si>
    <t>JL. TAMANAN RT.001 RW.004 KEL. GUYANGAN KEC. BAGOR</t>
  </si>
  <si>
    <t>BEVANDA</t>
  </si>
  <si>
    <t>DS.LAMBANGKUNING RT/RW. 002/002 KERTOSONO</t>
  </si>
  <si>
    <t>I-LEE</t>
  </si>
  <si>
    <t>Tanjung kalang RT 01 RW 02</t>
  </si>
  <si>
    <t>Anwar Jaya</t>
  </si>
  <si>
    <t>makanan</t>
  </si>
  <si>
    <t>kubik</t>
  </si>
  <si>
    <t>plimping</t>
  </si>
  <si>
    <t>baron</t>
  </si>
  <si>
    <t>PT marefa alam samudra</t>
  </si>
  <si>
    <t>mesin</t>
  </si>
  <si>
    <t>porang</t>
  </si>
  <si>
    <t>√</t>
  </si>
  <si>
    <t>Vian Group</t>
  </si>
  <si>
    <t>perorangan</t>
  </si>
  <si>
    <t xml:space="preserve">handycraft melati imitasi </t>
  </si>
  <si>
    <t>fiber</t>
  </si>
  <si>
    <t>lokal (surabaya)</t>
  </si>
  <si>
    <t>Kelutan</t>
  </si>
  <si>
    <t>Hidayah</t>
  </si>
  <si>
    <t>kedelai, sukun,pisang, kacang</t>
  </si>
  <si>
    <t>tabung</t>
  </si>
  <si>
    <t>Dy Parfume</t>
  </si>
  <si>
    <t>sabun</t>
  </si>
  <si>
    <t>mes,metanol, bibit parfum,fixative</t>
  </si>
  <si>
    <t>drum</t>
  </si>
  <si>
    <t>ngambyok</t>
  </si>
  <si>
    <t>tanjunganom</t>
  </si>
  <si>
    <t>Zidny</t>
  </si>
  <si>
    <t>makanan ( kulit lumpia)</t>
  </si>
  <si>
    <t>tepung terigu, garam</t>
  </si>
  <si>
    <t>Rahma Frozen</t>
  </si>
  <si>
    <t>makanan (frozen food)</t>
  </si>
  <si>
    <t>terigu, tapioka, panir, bawang putih</t>
  </si>
  <si>
    <t>karung</t>
  </si>
  <si>
    <t>Restu Jatijaya</t>
  </si>
  <si>
    <t>makanan(siomay)</t>
  </si>
  <si>
    <t>kanji, terigu</t>
  </si>
  <si>
    <t>Deta Home Decor</t>
  </si>
  <si>
    <t xml:space="preserve">handycraft </t>
  </si>
  <si>
    <t>pcs</t>
  </si>
  <si>
    <t>limbah kayu jati</t>
  </si>
  <si>
    <t>Cerme</t>
  </si>
  <si>
    <t>Papa Gedang</t>
  </si>
  <si>
    <t>pisang kepok</t>
  </si>
  <si>
    <t>Istik Nurjanah</t>
  </si>
  <si>
    <t>telur asin</t>
  </si>
  <si>
    <t>telur bebek</t>
  </si>
  <si>
    <t>Trayang</t>
  </si>
  <si>
    <t>Moeng</t>
  </si>
  <si>
    <t>minuman</t>
  </si>
  <si>
    <t>cup</t>
  </si>
  <si>
    <t>serbuk minuman</t>
  </si>
  <si>
    <t>Kandangan, sugihwaras</t>
  </si>
  <si>
    <t>prambon</t>
  </si>
  <si>
    <t>Rejeki dua putri</t>
  </si>
  <si>
    <t>pisang</t>
  </si>
  <si>
    <t>Dapur Bunda</t>
  </si>
  <si>
    <t>sambel</t>
  </si>
  <si>
    <t>kacang tanah, cabe, kopi, jahe</t>
  </si>
  <si>
    <t>Jl. Letjend Soeprapto No. 58, Ploso</t>
  </si>
  <si>
    <t>Bawang Goreng Nganjuk</t>
  </si>
  <si>
    <t>Semar</t>
  </si>
  <si>
    <t>kedelai, tepung, bawang putih</t>
  </si>
  <si>
    <t>sambal</t>
  </si>
  <si>
    <t>pace kulon</t>
  </si>
  <si>
    <t>pace</t>
  </si>
  <si>
    <t>UD Srimah Makmur</t>
  </si>
  <si>
    <t>tepung beras, tepung tapioka</t>
  </si>
  <si>
    <t>listrik</t>
  </si>
  <si>
    <t>watt</t>
  </si>
  <si>
    <t>bandung</t>
  </si>
  <si>
    <t>Mpon Mpon Indonesia(Sinona)</t>
  </si>
  <si>
    <t>minuman ringan</t>
  </si>
  <si>
    <t>kunyit, teh kelor</t>
  </si>
  <si>
    <t>sidorejo</t>
  </si>
  <si>
    <t>sawahan</t>
  </si>
  <si>
    <t>Criuk criuk</t>
  </si>
  <si>
    <t>Lobeser</t>
  </si>
  <si>
    <t>Yoen's craft</t>
  </si>
  <si>
    <t>handcraft</t>
  </si>
  <si>
    <t>tas, dompet slip, dompet koin</t>
  </si>
  <si>
    <t>bgks</t>
  </si>
  <si>
    <t>NIB. 0220000940756</t>
  </si>
  <si>
    <t>B'fun Craft</t>
  </si>
  <si>
    <t>handycraft</t>
  </si>
  <si>
    <t>batu agate, mutiara, manik-manik, tali kur, kawat</t>
  </si>
  <si>
    <t>string</t>
  </si>
  <si>
    <t>NIB. 9120109951817</t>
  </si>
  <si>
    <t>Nglaban</t>
  </si>
  <si>
    <t>Indraloka</t>
  </si>
  <si>
    <t>dus</t>
  </si>
  <si>
    <t>bulu mentok</t>
  </si>
  <si>
    <t>kardus</t>
  </si>
  <si>
    <t>NIB.0220105641187</t>
  </si>
  <si>
    <t>Lancar Chok</t>
  </si>
  <si>
    <t>Al Kindar Craft</t>
  </si>
  <si>
    <t>handycraft (rajut tali kur)</t>
  </si>
  <si>
    <t>tali kur</t>
  </si>
  <si>
    <t>Kedungboto, ngepung</t>
  </si>
  <si>
    <t>Alliya Damai</t>
  </si>
  <si>
    <t>tundun</t>
  </si>
  <si>
    <t>jaban drengas</t>
  </si>
  <si>
    <t>kertosono</t>
  </si>
  <si>
    <t>erfan jaya</t>
  </si>
  <si>
    <t>makanan (mie pentol bakso)</t>
  </si>
  <si>
    <t>Sumengko RT 02 RW 01</t>
  </si>
  <si>
    <t>Cenline</t>
  </si>
  <si>
    <t>bulu</t>
  </si>
  <si>
    <t>lokal(surabaya)</t>
  </si>
  <si>
    <t>Dsn. Gading RT 23 RW 09, Sonoageng</t>
  </si>
  <si>
    <t>Dan Light</t>
  </si>
  <si>
    <t>Sabun cuci piring</t>
  </si>
  <si>
    <t>texaphone, nacl, edta, parfume, air</t>
  </si>
  <si>
    <t>Jl. Anggrek, Sekaran</t>
  </si>
  <si>
    <t>Naca Esential Oil</t>
  </si>
  <si>
    <t>minyak gosok</t>
  </si>
  <si>
    <t>minyak kayu putih, minyak cengkeh, minyak sereh, minyak pepermint</t>
  </si>
  <si>
    <t>Siti Fauziah (Oscar)</t>
  </si>
  <si>
    <t>liusin</t>
  </si>
  <si>
    <t>bulu, gabus, slop, lem, cover</t>
  </si>
  <si>
    <t>lusin</t>
  </si>
  <si>
    <t>NIB 2911210019418</t>
  </si>
  <si>
    <t>sumberkepuh</t>
  </si>
  <si>
    <t>Arbanat</t>
  </si>
  <si>
    <t>Kembang gula</t>
  </si>
  <si>
    <t>gula putih, tepung, minyak goreng</t>
  </si>
  <si>
    <t>NIB 1104220017869</t>
  </si>
  <si>
    <t>jekek</t>
  </si>
  <si>
    <t>Tiga putri</t>
  </si>
  <si>
    <t>kue kering dan catering</t>
  </si>
  <si>
    <t>garut, ketan</t>
  </si>
  <si>
    <t xml:space="preserve">jogomerto </t>
  </si>
  <si>
    <t>onde-onde si kembar</t>
  </si>
  <si>
    <t>onde-onde</t>
  </si>
  <si>
    <t>tepung, gula, wijen, minyak</t>
  </si>
  <si>
    <t>bogo</t>
  </si>
  <si>
    <t>dapure mak niek</t>
  </si>
  <si>
    <t>bawang goreng</t>
  </si>
  <si>
    <t>SIUP 14022238414</t>
  </si>
  <si>
    <t>pecuk</t>
  </si>
  <si>
    <t>cana's</t>
  </si>
  <si>
    <t>resleting, busa, kain</t>
  </si>
  <si>
    <t>SIUP 9120203280318</t>
  </si>
  <si>
    <t>Tikya</t>
  </si>
  <si>
    <t>mamin</t>
  </si>
  <si>
    <t>11.000.000</t>
  </si>
  <si>
    <t>Bodor</t>
  </si>
  <si>
    <t>Ndalem eyang</t>
  </si>
  <si>
    <t>25.000.000</t>
  </si>
  <si>
    <t>jasa sablon</t>
  </si>
  <si>
    <t>kaos, cat</t>
  </si>
  <si>
    <t>NIB</t>
  </si>
  <si>
    <t>Bendungrejo</t>
  </si>
  <si>
    <t>CV. Agro Sukses Mandiri (purga)</t>
  </si>
  <si>
    <t>310.000.000</t>
  </si>
  <si>
    <t>kayu bakar dan solar</t>
  </si>
  <si>
    <t>262.000.000</t>
  </si>
  <si>
    <t>NIB 9120108421354</t>
  </si>
  <si>
    <t>Ringinanom</t>
  </si>
  <si>
    <t>Johana</t>
  </si>
  <si>
    <t>20.000.000</t>
  </si>
  <si>
    <t>bulu mentok, gabus</t>
  </si>
  <si>
    <t>taiwan</t>
  </si>
  <si>
    <t>kedungombo</t>
  </si>
  <si>
    <t>Robin Jaya (Sungut'e)</t>
  </si>
  <si>
    <t>makanan ringan</t>
  </si>
  <si>
    <t>ikan lele, tepung, minyak, rempah</t>
  </si>
  <si>
    <t>tabung lpg</t>
  </si>
  <si>
    <t>NIB 1508220028646</t>
  </si>
  <si>
    <t>Dsn Garu RT/RW 004/003</t>
  </si>
  <si>
    <t>Daffa</t>
  </si>
  <si>
    <t>Karang Tengah RT/RW 008/004</t>
  </si>
  <si>
    <t>Abadi</t>
  </si>
  <si>
    <t>Karang Tengah RT/RW 006/003</t>
  </si>
  <si>
    <t>Chiko</t>
  </si>
  <si>
    <t>Karang Tengah RT/RW 002/001</t>
  </si>
  <si>
    <t>Arjuno</t>
  </si>
  <si>
    <t>Karang Tengah RT/RW 007/004</t>
  </si>
  <si>
    <t>Papakuni</t>
  </si>
  <si>
    <t>Karang Tengah RT/RW 004/003</t>
  </si>
  <si>
    <t>AR</t>
  </si>
  <si>
    <t>Estetika Souvenir</t>
  </si>
  <si>
    <t>Kerajinan tangan</t>
  </si>
  <si>
    <t>Bor mesin,gerinda,lem tembak,cutter,gunting</t>
  </si>
  <si>
    <t>Tanjung tani</t>
  </si>
  <si>
    <t>Rengdy</t>
  </si>
  <si>
    <t>tepung tapioka, bawang</t>
  </si>
  <si>
    <t>Jl. Josuman Ds. Jetis</t>
  </si>
  <si>
    <t>PR Rumput Gajah Wuwu</t>
  </si>
  <si>
    <t>Industri Rokok Lainnya</t>
  </si>
  <si>
    <t>NIB. 1403230032274</t>
  </si>
  <si>
    <t>Dsn. Sumber RT/RW 002/002 Ds. Sidorejo</t>
  </si>
  <si>
    <t>Criuk-Criuk</t>
  </si>
  <si>
    <t>Keripik, sambal pecel, kentang balado, tape, brambang goreng, kacang klici</t>
  </si>
  <si>
    <t>Pisang kepok, gula, talas, garam,minyak goreng, kacang tanah, kentang, ketan putih, bumbu</t>
  </si>
  <si>
    <t>lpg</t>
  </si>
  <si>
    <t>nganjuk, blitar,kediri</t>
  </si>
  <si>
    <t>jawa tengah, jawa barat</t>
  </si>
  <si>
    <t>NIB.1245000513918 PIRT. 214351801116226 Halal ID 3511000452250622</t>
  </si>
  <si>
    <t>Jl. Masjid RT/RW 002/002 Ds. Bangsri</t>
  </si>
  <si>
    <t>Asri</t>
  </si>
  <si>
    <t>Abon ayam, keripik tempe, stick bawang,kripik pare, kripik terong</t>
  </si>
  <si>
    <t>ayam potong,brambang,bawang,tepung, minyak nabati</t>
  </si>
  <si>
    <t>NIB.0220300832568 PIRT. 0076/3618/20 Halal ID 35110000454810622</t>
  </si>
  <si>
    <t>Jl. KHA Dahlan No. 10 Nganjuk Ds. Kauman</t>
  </si>
  <si>
    <t>D'Woery</t>
  </si>
  <si>
    <t>Kering kentang, sambal pecel, rempeyek</t>
  </si>
  <si>
    <t>Kacang tanah,kentang,bumbu,minyak goreng</t>
  </si>
  <si>
    <t>NIB.9120305783605 Halal ID 35110000379050622 dan 35110000379210622</t>
  </si>
  <si>
    <t>Jalan Raya Madiun - Surabaya, Desa/Kelurahan Bagor Kulon, Kec. Bagor, Kab. Nganjuk, Provinsi Jawa Timur</t>
  </si>
  <si>
    <t>PT Nusantara Jaya Perkasa Aspal Beton</t>
  </si>
  <si>
    <t>23953 (Produksi Readymix) 23953 (Aspal)</t>
  </si>
  <si>
    <t>Aspal</t>
  </si>
  <si>
    <t>100 ton</t>
  </si>
  <si>
    <t>DL, LN</t>
  </si>
  <si>
    <t>liter solar</t>
  </si>
  <si>
    <t>Jl. Panglima Sudirman No. 237, Desa/Kelurahan Mangudikaran, Kec. Nganjuk, Kab. Nganjuk, Mangundikaran, Nganjuk, Kabupaten Nganjuk, Jawa Timur, 64419</t>
  </si>
  <si>
    <t>CV Sami Mulyo</t>
  </si>
  <si>
    <t>10437 (industri minyak goreng kelapa sawit)</t>
  </si>
  <si>
    <t>Jl. Werkudoro, RT 01 / RW 03, Desa/Kelurahan Kepuh, Kec. Kertosono, Kab. Nganjuk, Jawa Timur, 64315</t>
  </si>
  <si>
    <t>PT Anugerah Mitra Maju</t>
  </si>
  <si>
    <t>10710 (Industri Produk Roti Dan Kue) 10732 (Industri Makanan Dari Cokelat Dan Kembang Gula Dari Coklat)</t>
  </si>
  <si>
    <t>Tanjungkalang, Tanjungkalang, Ngronggot, Kabupaten Nganjuk, Jawa Timur, 64395</t>
  </si>
  <si>
    <t xml:space="preserve">PT Indoraya Sejahtera Group </t>
  </si>
  <si>
    <t>12013 (Industri Sigaret Kretek Mesin) 12011 (Industri Sigaret Kretek Tangan) 12012 (Industri Rokok Putih)</t>
  </si>
  <si>
    <t xml:space="preserve"> STK</t>
  </si>
  <si>
    <t>Tembakau rajang hitam, cengkeh rajang</t>
  </si>
  <si>
    <t>TNE</t>
  </si>
  <si>
    <t>Jl.Raya Warujayeng-Loceret, Plosoharjo, Pace, Kabupaten Nganjuk, Jawa Timur, 64472</t>
  </si>
  <si>
    <t xml:space="preserve">PR Moh. Bukhori </t>
  </si>
  <si>
    <t>Perseorangan</t>
  </si>
  <si>
    <t>12011 (Industri Sigaret Kretek Tangan)
 12019 (Tembakau Tis)</t>
  </si>
  <si>
    <t xml:space="preserve"> Batang</t>
  </si>
  <si>
    <t>cengkeh, tembakau rajang</t>
  </si>
  <si>
    <t>31 Ton</t>
  </si>
  <si>
    <t>DN</t>
  </si>
  <si>
    <t>kwh</t>
  </si>
  <si>
    <t>SONOAGENG, Sono Ageng, Prambon, Kabupaten Nganjuk, Jawa Timur, 64484</t>
  </si>
  <si>
    <t>PR Moh. Mukhlas Ashidiq</t>
  </si>
  <si>
    <t>12019 (Industri rokok)</t>
  </si>
  <si>
    <t>Dsn. Mergoyoso, Kalianyar, Ngronggot, Kabupaten Nganjuk, Jawa Timur, 64395</t>
  </si>
  <si>
    <t>PT Bagus Pratama Jaya</t>
  </si>
  <si>
    <t>12011 (Industri Sigaret Kretek Tangan)  12019 (Industri Rokok Lainnya)</t>
  </si>
  <si>
    <t>BATANG</t>
  </si>
  <si>
    <t>cengkeh, tembakau iris</t>
  </si>
  <si>
    <t>Jalan Semeru No. 64, Tanjungrejo, Loceret, Kabupaten Nganjuk, Jawa Timur</t>
  </si>
  <si>
    <t>PT Karyamega Putra Mandiri</t>
  </si>
  <si>
    <t>12011 (INDUSTRI SIGARET KRETEK TANGAN)</t>
  </si>
  <si>
    <t>tembakau, cengkeh</t>
  </si>
  <si>
    <t>KGM</t>
  </si>
  <si>
    <t>Jl. Arjuna RT.03/04, Kelurahan Kedondong, Kec. Bagor, Kabupaten Nganjuk, Jawa Timur 64461</t>
  </si>
  <si>
    <t>PT Rokatama Adhicitra</t>
  </si>
  <si>
    <t>12099 INDUSTRI PENGOLAHAN Industri Pengolahan Tembakau</t>
  </si>
  <si>
    <t>BUAH</t>
  </si>
  <si>
    <t>Dusun Bulurejo, Sawahan, Sawahan, Kabupaten Nganjuk, Jawa Timur, 64475</t>
  </si>
  <si>
    <t>PR Achmad Rizal</t>
  </si>
  <si>
    <t>tembakau iris</t>
  </si>
  <si>
    <t>Listrik</t>
  </si>
  <si>
    <t>Kwh</t>
  </si>
  <si>
    <t xml:space="preserve">JL.WARUJAYENG-NGANJUK Desa.Plosoharjo,Kec.Pace,Kab.Nganjuk, Plosoharjo, Pace, Kabupaten Nganjuk, Jawa Timur, 64472             </t>
  </si>
  <si>
    <t xml:space="preserve">PR Sumiati Sujono Somodiwiryo </t>
  </si>
  <si>
    <t>12011 (INDUSTRI SIGARET KRETEK TANGAN)  112013 (INDUSTRI SIGARET KRETEK MESIN) 12019 (Industri Rokok Lainnya)</t>
  </si>
  <si>
    <t>Jl. W. Monginsidi No.02, Payaman, Nganjuk, Kabupaten Nganjuk, Jawa Timur, 64418</t>
  </si>
  <si>
    <t xml:space="preserve">CV Mangga Gandeng </t>
  </si>
  <si>
    <t>12011 (Industri Sigaret Kretek Tangan)</t>
  </si>
  <si>
    <t>Tembakau, Cengkeh, Saos</t>
  </si>
  <si>
    <t>KWH</t>
  </si>
  <si>
    <t>Dsn Kacangan RT009 RW003, Kacangan, Berbek, Kabupaten Nganjuk, Jawa Timur, 64473</t>
  </si>
  <si>
    <t>PR Putra Samsu Mas Widjoyo</t>
  </si>
  <si>
    <t>12011 (INDUSTRI KRETEK)</t>
  </si>
  <si>
    <t xml:space="preserve">Jl. Lurah S. Kartoprawiro, Kacangan, Berbek, Kabupaten Nganjuk, Jawa Timur, 64473, </t>
  </si>
  <si>
    <t>PR Tunggal Sedjarah Mas</t>
  </si>
  <si>
    <t>12011 (INDUSTRI ROKOK)</t>
  </si>
  <si>
    <t xml:space="preserve">Jalan Warujayeng - Nganjuk, Desa Kecubung Kecamatan Pace Kabupaten Nganjuk, Kecubung, Pace, Kabupaten Nganjuk, Jawa Timur, 64472, </t>
  </si>
  <si>
    <t>PT Alam Makmur Anuri</t>
  </si>
  <si>
    <t>20127 (Produksi Pupuk Organik Remah)</t>
  </si>
  <si>
    <t>Pupuk hayati cair majemuk</t>
  </si>
  <si>
    <t>KWh</t>
  </si>
  <si>
    <t>JL. RAYA BARON - LENGKONG NO. 25, DUSUN. PADASAN, Garu, Baron, Kabupaten Nganjuk, Jawa Timur, 64394</t>
  </si>
  <si>
    <t>PT Indo Bakry Nusantara</t>
  </si>
  <si>
    <t>10710 (INDUSTRI PRODUK KUE &amp; ROTI)</t>
  </si>
  <si>
    <t>piece</t>
  </si>
  <si>
    <t>Tepung, gula,garam, ragi,susu,butter,sorbitol,minyak,margarin</t>
  </si>
  <si>
    <t>Jl.Brantas No 22 RT 03 RW 07 Ds.Babadan Kel.Werungotok Kec.Nganjuk, Werungotok, Nganjuk, Kabupaten Nganjuk, Jawa Timur, 64419</t>
  </si>
  <si>
    <t>CV Abriantama Indosa</t>
  </si>
  <si>
    <t xml:space="preserve">28193 (Industri mesin pendingin) </t>
  </si>
  <si>
    <t>Mesin gerinda 4 in, Las pvc,Mesin las,Solder, Avometer, ang ampere</t>
  </si>
  <si>
    <t xml:space="preserve">Jl. KH Wakhid Hasyim No. 304 Tanjunganom Nganjuk, Tanjunganom, Tanjunganom, Kabupaten Nganjuk, Jawa Timur, 64483, </t>
  </si>
  <si>
    <t>PT Lohjinawi Tanjung Industri</t>
  </si>
  <si>
    <t>11040 (Industri Minuman Ringan)  10613 (Industri Penggilingan Aneka Umbi Dan Sayuran (Termasuk Rhizoma))</t>
  </si>
  <si>
    <t>susu bubuk, garam, kacang hijau,</t>
  </si>
  <si>
    <t xml:space="preserve">Dsn. Sendangrejo RT/RW. 002/003, Sidorejo, Sawahan, Kabupaten Nganjuk, Jawa Timur, 64475, </t>
  </si>
  <si>
    <t>CV Putra Tunggal Persada</t>
  </si>
  <si>
    <t>11051 (Industri Air Kemasan)</t>
  </si>
  <si>
    <t>meter kubik</t>
  </si>
  <si>
    <t xml:space="preserve">Jalan Raya Madiun, Mungkung, Loceret, Kabupaten Nganjuk, Jawa Timur, 64471, </t>
  </si>
  <si>
    <t>PR Riyanto</t>
  </si>
  <si>
    <t>23963 (Industri Barang Dari Batu Untuk Keperluan Rumah Tangga, Pajangan dan Dan Bahan Bangunan)</t>
  </si>
  <si>
    <t xml:space="preserve">Dusun Jajar, Margopatut, Sawahan, Kabupaten Nganjuk, Jawa Timur, 64475, </t>
  </si>
  <si>
    <t>CV Anugerah Jaya Subur</t>
  </si>
  <si>
    <t>11051 (Air Minum Dalam Kemasan)</t>
  </si>
  <si>
    <t xml:space="preserve">Jl. Sutoyo No. 26. Desa. Loceret. Kec. Loceret. Kab. Nganjuk, Loceret, Loceret, Kabupaten Nganjuk, Jawa Timur, 64471, </t>
  </si>
  <si>
    <t>CV Berkah Kerta Raharja</t>
  </si>
  <si>
    <t> 12011 (INDUSTRI SIGARET KRETEK TANGAN)</t>
  </si>
  <si>
    <t>stk</t>
  </si>
  <si>
    <t xml:space="preserve">Jalan Widas No. 19, Begadung, Nganjuk, Kabupaten Nganjuk, Jawa Timur, 64413, </t>
  </si>
  <si>
    <t>PR Putra Buana Tobacco</t>
  </si>
  <si>
    <t>12011 (Industri Hasil Tembakau)</t>
  </si>
  <si>
    <t>Jl Masjid RT.01 RW.01 Desa Pakuncen, Pakuncen, Patianrowo, Kabupaten Nganjuk, Jawa Timur, 64391,</t>
  </si>
  <si>
    <t>CV Jamu Tradisional Al Qomar</t>
  </si>
  <si>
    <t>21022 (Usaha Kecil Obat Tradisional)</t>
  </si>
  <si>
    <t>Jl.Raya sedudo Dusun Klogean,kel.siwalan kec.Sawahan,Kab.Nganjuk jawatimur, Siwalan, Sawahan, Kabupaten Nganjuk, Jawa Timur</t>
  </si>
  <si>
    <t>CV Tirta Wilis Alami</t>
  </si>
  <si>
    <t>11051 (Air minum Dalam Kemasan)</t>
  </si>
  <si>
    <t>karton</t>
  </si>
  <si>
    <t>air tanah</t>
  </si>
  <si>
    <t>Desa Singkalanyar Rt.01/Rw.01, Singkalanyar, Prambon, Kabupaten Nganjuk, Jawa Timur, 64484</t>
  </si>
  <si>
    <t>CV Bintang Sedudo</t>
  </si>
  <si>
    <t>29200 (KAROSERI)</t>
  </si>
  <si>
    <t>plat besi</t>
  </si>
  <si>
    <t>20127 (Produksi Pupuk Organik Remah)
 46652 (Produksi Pupuk Pembenah Tanah Organik Cair)
 20127 (Produksi Pupuk Hayati Cair Majemuk)
 20121 (Produksi Pupuk Pembenah Tanah Organik Cair</t>
  </si>
  <si>
    <t>JL PANGLIMA SUDIRMAN NO 198, Mangundikaran, Nganjuk, Kabupaten Nganjuk, Jawa Timur, 64419</t>
  </si>
  <si>
    <t>PT Alam Raya Amerta Subur Makmur</t>
  </si>
  <si>
    <t>12011 (INDUSTRI SIGARET KRETEK TANGAN) 12013 (SIGARET KRETEK MESIN)</t>
  </si>
  <si>
    <t xml:space="preserve">RT. 03 RW. 03, BAGORKULON, BAGOR KULON, BAGOR, Kabupaten Nganjuk, Jawa Timur, 64461, </t>
  </si>
  <si>
    <t>UD Jati Makmur Sejahtera</t>
  </si>
  <si>
    <t>46207 (INDUSTRI KAYU)</t>
  </si>
  <si>
    <t>kayu log</t>
  </si>
  <si>
    <t>BALONGGEBANG, Balonggebang, Gondang, Kabupaten Nganjuk, Jawa Timur, 64451</t>
  </si>
  <si>
    <t>CV Hutomo Putra</t>
  </si>
  <si>
    <t> 20129 (INDUSTRI PUPUK LAINNYA)</t>
  </si>
  <si>
    <t>Kotoran ayam, kotoran sapi, abu tembakau</t>
  </si>
  <si>
    <t>DSN. SEKARPUTIH RT 002 RW 001, Putren, Sukomoro, Kabupaten Nganjuk, Jawa Timur, 64481,</t>
  </si>
  <si>
    <t>CV Mahira Grafika</t>
  </si>
  <si>
    <t>18111 (INDUSTRI PERCETAKAN UMUM)</t>
  </si>
  <si>
    <t>Jl. Bengawan Solo II No. 04, Ringinanom, Nganjuk, Kabupaten Nganjuk, Jawa Timur, 64414</t>
  </si>
  <si>
    <t>PR Cengkir Gading</t>
  </si>
  <si>
    <t>12011 (Industri Rokok Kretek)
 12019 (Industri Rokok Klobot)</t>
  </si>
  <si>
    <t>JALAN TAMANAN NO 01 DESA SIDOKARE, SIDOKARE, REJOSO, Kabupaten Nganjuk, Jawa Timur, 64453,</t>
  </si>
  <si>
    <t>PT Agro Bumi Timur</t>
  </si>
  <si>
    <t>20124 (INDUSTRI PUPUK BUATAN CAMPURAN HARA MAKRO BESAR)
 20129 (INDUSTRI PUPUK LAINYA)</t>
  </si>
  <si>
    <t>Jl. Mayjend Supeno, Tempel Wetan, loceret, Kabupaten Nganjuk, Jawa Timur, 64472</t>
  </si>
  <si>
    <t>PR Cahaya Gemilang Indah</t>
  </si>
  <si>
    <t>16221 (industri barang bangunan dari kayu)
 16101 (industri penggergajian kayu)</t>
  </si>
  <si>
    <t>Kayu Sonokeling</t>
  </si>
  <si>
    <t>Dusun Garu, RT 02 RW 02, Garu, Baron, Kabupaten Nganjuk, Jawa Timur, 64394</t>
  </si>
  <si>
    <t>PT Bayu bagus Bakry</t>
  </si>
  <si>
    <t>10710 (roti)</t>
  </si>
  <si>
    <t>Jl. Panglima Sudirman KM 104, Dsn. Plimping RT 12 RW 06, Gebangkerep, Baron, Kabupaten Nganjuk, Jawa Timur, 64394</t>
  </si>
  <si>
    <t>10613 (INDUSTRI PENGGILINGAN ANEKA UMBI DAN SAYURAN (TERMASUK RHIZOMA)</t>
  </si>
  <si>
    <t>umbi porang</t>
  </si>
  <si>
    <t>DESA NGRAJEK, SAMBIREJO, TANJUNGANOM, Kabupaten Nganjuk, Jawa Timur, 64482</t>
  </si>
  <si>
    <t>PT Sumber Plast Indo</t>
  </si>
  <si>
    <t>38302 (DAUR ULANG BARANG BUKAN LOGAM)</t>
  </si>
  <si>
    <t>Dsn. Dingin RT 004 RW 007, Ngronggot, Ngronggot, Kabupaten Nganjuk, Jawa Timur, 64395</t>
  </si>
  <si>
    <t>PT Nadha Karya Utama Indonesia</t>
  </si>
  <si>
    <t>25112 (INDUSTRI BARANG DARI LOGAM ALUMINIUM SIAP PASANG UNTUK BANGUNAN)</t>
  </si>
  <si>
    <t>Ciol Galvalum</t>
  </si>
  <si>
    <t>meter persegi</t>
  </si>
  <si>
    <t>RT/RW 2/2 Sumberkepuh</t>
  </si>
  <si>
    <t>Aneka Keripik Dua Putri</t>
  </si>
  <si>
    <t>Plastik besar</t>
  </si>
  <si>
    <t>LPG 3 Kg</t>
  </si>
  <si>
    <t>Tabung</t>
  </si>
  <si>
    <t>RT/RW 3/2 Logawe Sumberkepuh</t>
  </si>
  <si>
    <t>Jamu Gepyok Ibu Sukartian</t>
  </si>
  <si>
    <t>Bungkus</t>
  </si>
  <si>
    <t>RT/RW 6/2 Balongasem, Balongasem</t>
  </si>
  <si>
    <t>Jamu Ibu Suparmi</t>
  </si>
  <si>
    <t>Jamu Bu Suparti</t>
  </si>
  <si>
    <t xml:space="preserve">RT/RW 3/1 Banggle, Banggle </t>
  </si>
  <si>
    <t>Usus crispy bu susiati</t>
  </si>
  <si>
    <t>usus</t>
  </si>
  <si>
    <t>RT/RW 5/2 Banggle, Banggle</t>
  </si>
  <si>
    <t>Roti basah bu sri wahyu</t>
  </si>
  <si>
    <t>pesanan</t>
  </si>
  <si>
    <t>Karung</t>
  </si>
  <si>
    <t>LPG 3 Kg dan Listrik</t>
  </si>
  <si>
    <t>3            450</t>
  </si>
  <si>
    <t>Tabung         Kwh</t>
  </si>
  <si>
    <t>RT/RW 1/2 Sawahan, Sawahan</t>
  </si>
  <si>
    <t>Ningrat</t>
  </si>
  <si>
    <t>Bubuk Jamu</t>
  </si>
  <si>
    <t>RT/RW 1/2 Banggle, Banggle</t>
  </si>
  <si>
    <t>Cooking 8</t>
  </si>
  <si>
    <t>Roti basah</t>
  </si>
  <si>
    <t>Loyang</t>
  </si>
  <si>
    <t>RT/RW 4/2 Ketandan, Ketandan</t>
  </si>
  <si>
    <t>Tempe Pak Tumaji</t>
  </si>
  <si>
    <t>Potong</t>
  </si>
  <si>
    <t>Ikat</t>
  </si>
  <si>
    <t>RT/RW 2/8 Gempol, Ngringin</t>
  </si>
  <si>
    <t>Keripik ibu habibah</t>
  </si>
  <si>
    <t>Keripik Daun Kelor</t>
  </si>
  <si>
    <t>RT/RW 2/1 Banjardowo, Banjardowo</t>
  </si>
  <si>
    <t>Tempe pak yadi</t>
  </si>
  <si>
    <t>Iris</t>
  </si>
  <si>
    <t>Kwintal</t>
  </si>
  <si>
    <t>RT/RW 7/1 Banjardowo, Banjardowo</t>
  </si>
  <si>
    <t>Tempe pak haji no</t>
  </si>
  <si>
    <t>Gebik</t>
  </si>
  <si>
    <t>Jl. Rimbamulya RT/RW 2/6</t>
  </si>
  <si>
    <t>Jaya Abadi Bu Sayuti</t>
  </si>
  <si>
    <t>Tundun</t>
  </si>
  <si>
    <t xml:space="preserve">Jl. Menur RT/RW 1/4 </t>
  </si>
  <si>
    <t>Jaya Rasa</t>
  </si>
  <si>
    <t>Sambel Pecel</t>
  </si>
  <si>
    <t>Kacang</t>
  </si>
  <si>
    <t>Jl. Melati RT/RW 2/1</t>
  </si>
  <si>
    <t>Tahu pak subur</t>
  </si>
  <si>
    <t>Masakan</t>
  </si>
  <si>
    <t>Kayu dan Solar</t>
  </si>
  <si>
    <t>RT/RW 5/4 Jatisari, Jatipunggur</t>
  </si>
  <si>
    <t>Tempe pak totok</t>
  </si>
  <si>
    <t>RT/RW 11/5 Kedungmlaten</t>
  </si>
  <si>
    <t>Keripik pisang dan singkong</t>
  </si>
  <si>
    <t>RT/RW 3/3 Pulerejo, Dlulurejo</t>
  </si>
  <si>
    <t>Jamu bu deni</t>
  </si>
  <si>
    <t>RT/RW 4/3 Pulerejo, Dlulurejo</t>
  </si>
  <si>
    <t>Tempe bu sunarti</t>
  </si>
  <si>
    <t>RT/RW 3/1 Lumpangkuwik</t>
  </si>
  <si>
    <t>Tempe gembus pak arif</t>
  </si>
  <si>
    <t>Tempe gembus</t>
  </si>
  <si>
    <t>ampas tahu</t>
  </si>
  <si>
    <t>RT/RW 3/2 Lumpangkuwik</t>
  </si>
  <si>
    <t>Berkah tahu</t>
  </si>
  <si>
    <t>bongkok</t>
  </si>
  <si>
    <t>RT/RW 1/1 Lumpangkuwik</t>
  </si>
  <si>
    <t>Jamu mbah rip</t>
  </si>
  <si>
    <t>RT/RW 6/4 Begendeng</t>
  </si>
  <si>
    <t>Lely bakery</t>
  </si>
  <si>
    <t>jajanan</t>
  </si>
  <si>
    <t>RT/RW 1/1 Begendeng</t>
  </si>
  <si>
    <t>Tempe pak arifin</t>
  </si>
  <si>
    <t>RT/RW 3/1 Bedendeng</t>
  </si>
  <si>
    <t>Tempe pak supardi</t>
  </si>
  <si>
    <t>Pikul</t>
  </si>
  <si>
    <t>RT/RW 9/5 Pinggiran, Munung</t>
  </si>
  <si>
    <t>Kue lapis ibu nurjayanti</t>
  </si>
  <si>
    <t>Kue lapis</t>
  </si>
  <si>
    <t>RT/RW 3/3 Jati</t>
  </si>
  <si>
    <t>Cahaya asa</t>
  </si>
  <si>
    <t xml:space="preserve">Dusun Dukuh Kel/Desa Sugihwaras Kecamatan Prambon </t>
  </si>
  <si>
    <t>UD adelia</t>
  </si>
  <si>
    <t>Penggilingan Pagi Jadi Pk Pecah Kulit</t>
  </si>
  <si>
    <t>kwl</t>
  </si>
  <si>
    <t>Padi</t>
  </si>
  <si>
    <t>Koko jaya</t>
  </si>
  <si>
    <t>Pengolahan Makanan</t>
  </si>
  <si>
    <t xml:space="preserve">LPG </t>
  </si>
  <si>
    <t>stik raja CJDW</t>
  </si>
  <si>
    <t>Pengolahan Daging Ayam Jadi Naget Atau Sosis</t>
  </si>
  <si>
    <t>PIRT. 2063518010192.20</t>
  </si>
  <si>
    <t>Kerupuk Dan Krecek</t>
  </si>
  <si>
    <t>Pengolahan Tepung Jadi Krecek</t>
  </si>
  <si>
    <t xml:space="preserve">kayu </t>
  </si>
  <si>
    <t>bak</t>
  </si>
  <si>
    <t xml:space="preserve">Desa Kurungrejo Dusun Ngetrep Kecamatan Prambon </t>
  </si>
  <si>
    <t>Tahu Abas</t>
  </si>
  <si>
    <t>Produksi Tahu</t>
  </si>
  <si>
    <t>Tempe Anwar</t>
  </si>
  <si>
    <t>Industri Tempe</t>
  </si>
  <si>
    <t xml:space="preserve">Desa Kurungrejo Dusun Lumpangrenteng Kecamatan Prambon </t>
  </si>
  <si>
    <t>Tahu Dewi</t>
  </si>
  <si>
    <t>Industri Tahu</t>
  </si>
  <si>
    <t xml:space="preserve">Desa Kurungrejo Dusun Kurungrejo Kecamatan Prambon </t>
  </si>
  <si>
    <t>Pentol Gaul</t>
  </si>
  <si>
    <t>daging</t>
  </si>
  <si>
    <t>Lapis</t>
  </si>
  <si>
    <t>Produksi Kue Lapis</t>
  </si>
  <si>
    <t>LPG 3kg</t>
  </si>
  <si>
    <t>Es Krim Syahroni</t>
  </si>
  <si>
    <t>Pembuatan Es Krim</t>
  </si>
  <si>
    <t>Es Krim Syahrul</t>
  </si>
  <si>
    <t xml:space="preserve">Dusun Ngetrep Desa Kurungrejo Kecamatan Prambon </t>
  </si>
  <si>
    <t>Tahu Mugiono</t>
  </si>
  <si>
    <t>Pengerajin Tahu</t>
  </si>
  <si>
    <t>Kardus Dan Kue Ning</t>
  </si>
  <si>
    <t>Kue Ning</t>
  </si>
  <si>
    <t>Roti Rizky</t>
  </si>
  <si>
    <t>Industri Roti</t>
  </si>
  <si>
    <t>LPG</t>
  </si>
  <si>
    <t>Pentol Fatoni</t>
  </si>
  <si>
    <t xml:space="preserve">Pembuatan Pentol Atau Cilok </t>
  </si>
  <si>
    <t>Produksi Tempe</t>
  </si>
  <si>
    <t>Dusun Watudandang Desa Watudandang Kecamatan Prambon</t>
  </si>
  <si>
    <t>Sambel Pecel Bunda Vino</t>
  </si>
  <si>
    <t xml:space="preserve">Pengolahan Kacang </t>
  </si>
  <si>
    <t>kacang</t>
  </si>
  <si>
    <t xml:space="preserve">Dusun Nanggungan Desa Watudandang Kecamatan Prambon </t>
  </si>
  <si>
    <t>Getuk Pisang Subeki</t>
  </si>
  <si>
    <t>Produsen Gethuk Pisang Subeki</t>
  </si>
  <si>
    <t xml:space="preserve">pisang </t>
  </si>
  <si>
    <t>tangkep</t>
  </si>
  <si>
    <t>Getuk Pisang Aslli</t>
  </si>
  <si>
    <t>Produsen Gethuk Pisang Asli</t>
  </si>
  <si>
    <t>Getuk Pisang Andi</t>
  </si>
  <si>
    <t>Produsen Getuk Pisang</t>
  </si>
  <si>
    <t xml:space="preserve">pcs </t>
  </si>
  <si>
    <t>Getuk Pisang Edy</t>
  </si>
  <si>
    <t xml:space="preserve">Produsen Gethuk Pisang Dan Tahu Taqwa </t>
  </si>
  <si>
    <t xml:space="preserve">Dusun Sobontoro Desa Watudandang Kecamatan Prambon </t>
  </si>
  <si>
    <t>Getuk Pisang Poo</t>
  </si>
  <si>
    <t>sisir</t>
  </si>
  <si>
    <t>Tahu Mbk Siti</t>
  </si>
  <si>
    <t>Produsen Tahu Siti</t>
  </si>
  <si>
    <t xml:space="preserve">Dusun Tunggulrejo Desa Watudandang Kecamatan Prambon </t>
  </si>
  <si>
    <t>Puli Nyoto</t>
  </si>
  <si>
    <t>Produksi Krecek Puli</t>
  </si>
  <si>
    <t xml:space="preserve">Puli Patonah </t>
  </si>
  <si>
    <t>Produksi Krecek Puli Patonah</t>
  </si>
  <si>
    <t>Istianah</t>
  </si>
  <si>
    <t xml:space="preserve">Produksi Tahu  </t>
  </si>
  <si>
    <t>KAYU</t>
  </si>
  <si>
    <t>BAK</t>
  </si>
  <si>
    <t xml:space="preserve">Dusun Rowoharjo Desa Rowoharjo Kecamatan Prambon </t>
  </si>
  <si>
    <t xml:space="preserve">Getuk Pisang Cipto </t>
  </si>
  <si>
    <t>Produksi Getuk Pisang Cipto</t>
  </si>
  <si>
    <t>Tahu Muryadi</t>
  </si>
  <si>
    <t>Pengolahan Kedelai</t>
  </si>
  <si>
    <t>Catering Giri Tirta</t>
  </si>
  <si>
    <t xml:space="preserve">Dusun Gedong Desa Tanjungtani Kecamatan Prambon </t>
  </si>
  <si>
    <t>Tahu Marjuki</t>
  </si>
  <si>
    <t>Produsen Tahu Marjuki</t>
  </si>
  <si>
    <t xml:space="preserve">Dusun/Desa Tanjungtani Kecamatan Prambon </t>
  </si>
  <si>
    <t>Tempe Bu Siti</t>
  </si>
  <si>
    <t>Produksi Tempe Bu Siti</t>
  </si>
  <si>
    <t>Tempe Kasiatun</t>
  </si>
  <si>
    <t xml:space="preserve">Produksi Tempe </t>
  </si>
  <si>
    <t xml:space="preserve">Desa/Dusun Mojoagung Kecamatan Prambon </t>
  </si>
  <si>
    <t xml:space="preserve">Tempe Pak Miftah </t>
  </si>
  <si>
    <t>Tahu Tempe Umi</t>
  </si>
  <si>
    <t>Produksi Tahu Tempe Umi</t>
  </si>
  <si>
    <t xml:space="preserve">kwintal </t>
  </si>
  <si>
    <t>Tahu Rofik</t>
  </si>
  <si>
    <t>Siti Maslikah</t>
  </si>
  <si>
    <t xml:space="preserve">Desa/Dusun Bandung Kecamatan Prambon </t>
  </si>
  <si>
    <t>Tape Supriyadi</t>
  </si>
  <si>
    <t>Produksi Tape</t>
  </si>
  <si>
    <t>ketela pohong</t>
  </si>
  <si>
    <t>Recek Sawut Suhendi</t>
  </si>
  <si>
    <t>Produksi Krecek Sawut</t>
  </si>
  <si>
    <t>1,8</t>
  </si>
  <si>
    <t xml:space="preserve">tepung </t>
  </si>
  <si>
    <t>Desa Baleturi Dusun Bandung Kecamatan Prambon</t>
  </si>
  <si>
    <t>Tape Joko</t>
  </si>
  <si>
    <t>Pengolahan Ketela</t>
  </si>
  <si>
    <t xml:space="preserve">ketela pohong </t>
  </si>
  <si>
    <t>Tape Mujib</t>
  </si>
  <si>
    <t>1 bak</t>
  </si>
  <si>
    <t>Tape Hadmuj</t>
  </si>
  <si>
    <t xml:space="preserve">LpG  </t>
  </si>
  <si>
    <t>Ariyanto</t>
  </si>
  <si>
    <t xml:space="preserve">Dusun/Desa Nglawak Kecamatan Prambon </t>
  </si>
  <si>
    <t>Tahu Ehsan</t>
  </si>
  <si>
    <t xml:space="preserve">Dusun/Desa Sonoageng Kecamatan Prambon </t>
  </si>
  <si>
    <t>Tempe Juwito</t>
  </si>
  <si>
    <t>Tempe Sunarsih</t>
  </si>
  <si>
    <t xml:space="preserve">Dusun/Desa Tegaron Kecamatan Prambon </t>
  </si>
  <si>
    <t>Tahu Pak Muda'Ib</t>
  </si>
  <si>
    <t xml:space="preserve">Dusun Prambon Desa Tegaron Kecamatan Prambon </t>
  </si>
  <si>
    <t>Bintang Jamu</t>
  </si>
  <si>
    <t>Pengolahaan Minuman Herbal</t>
  </si>
  <si>
    <t>rempah rempah</t>
  </si>
  <si>
    <t>Kerupuk Gaplek</t>
  </si>
  <si>
    <t>Pengolahan Kerupuk</t>
  </si>
  <si>
    <t>tepung gaplek</t>
  </si>
  <si>
    <t>Kunir Asem Ndeso</t>
  </si>
  <si>
    <t>Pengolahan Minuman Herbal</t>
  </si>
  <si>
    <t xml:space="preserve">kg
</t>
  </si>
  <si>
    <t>Tahu Sri</t>
  </si>
  <si>
    <t>Peyek Sumiati</t>
  </si>
  <si>
    <t xml:space="preserve">Kerupuk Rempeyek </t>
  </si>
  <si>
    <t xml:space="preserve">Dusun/Desa Sanggrahan Kecamatan Prambon </t>
  </si>
  <si>
    <t>Tahu Budi</t>
  </si>
  <si>
    <t xml:space="preserve">Pengolahan Kedelai </t>
  </si>
  <si>
    <t xml:space="preserve">kedelai </t>
  </si>
  <si>
    <t xml:space="preserve">Desa Gondanglegi Dusun Combre Kecamatan Prambon </t>
  </si>
  <si>
    <t>Tahu Gatot</t>
  </si>
  <si>
    <t xml:space="preserve">Desa Gondanglegi Dusun Gondanglegi Kecamatan Prambon </t>
  </si>
  <si>
    <t>Donat Toping</t>
  </si>
  <si>
    <t>Pengolahan Donat</t>
  </si>
  <si>
    <t>Tahu Udin</t>
  </si>
  <si>
    <t xml:space="preserve">Desa Tanjungtani Kecamatan Prambon </t>
  </si>
  <si>
    <t>Berkah Jaya</t>
  </si>
  <si>
    <t xml:space="preserve">Pengolahan Kerupuk </t>
  </si>
  <si>
    <t>RT/RW 2/1 Perning</t>
  </si>
  <si>
    <t>Jamu bu winarsih</t>
  </si>
  <si>
    <t>RT/RW 6/3 Ngasem</t>
  </si>
  <si>
    <t>Keripik Tempe Ar Rahma</t>
  </si>
  <si>
    <t>Firma</t>
  </si>
  <si>
    <t>Gombyok</t>
  </si>
  <si>
    <t xml:space="preserve">Kedelai </t>
  </si>
  <si>
    <t>RT/RW 3/1 Ndoro, Ngasem</t>
  </si>
  <si>
    <t>Bakoel Kripik</t>
  </si>
  <si>
    <t>Keripik dan kacang asin</t>
  </si>
  <si>
    <t>Ketela, pisang,kacang</t>
  </si>
  <si>
    <t>RT/RW 12/6 Ngasem</t>
  </si>
  <si>
    <t>Kacang asin Yasmin</t>
  </si>
  <si>
    <t>Kacang asin</t>
  </si>
  <si>
    <t>RT/RW 2/3 Begendeng</t>
  </si>
  <si>
    <t>Tempe pak sumadi</t>
  </si>
  <si>
    <t>Musir Lor</t>
  </si>
  <si>
    <t>RT/RW 1/4 Talang</t>
  </si>
  <si>
    <t>Tahu dan Tahu goreng bu Aniek</t>
  </si>
  <si>
    <t>RT/RW 1/1 Klagen</t>
  </si>
  <si>
    <t>Kerupuk Tahu</t>
  </si>
  <si>
    <t>Jl. Wilis RT/RW 3/1 Klagen</t>
  </si>
  <si>
    <t>Keripik pare</t>
  </si>
  <si>
    <t>Pare</t>
  </si>
  <si>
    <t>Jl. Wilis RT/RW 7/3 Klagen</t>
  </si>
  <si>
    <t>Kerupuk Bakar</t>
  </si>
  <si>
    <t>Embun Kenanga Karya Agung</t>
  </si>
  <si>
    <t>15</t>
  </si>
  <si>
    <t>9</t>
  </si>
  <si>
    <t>24</t>
  </si>
  <si>
    <t>Dusun Song-song Desa Jatikalen Kec. Jatikalen, Kab. Nganjuk</t>
  </si>
  <si>
    <t>PT Metal Manufakturing Indonesia</t>
  </si>
  <si>
    <t>Kaleng</t>
  </si>
  <si>
    <t>Piece</t>
  </si>
  <si>
    <t>Tiinplate</t>
  </si>
  <si>
    <t>NIB No. 2911230020647</t>
  </si>
  <si>
    <t>JL.Jaksa Agung Suprapto, Warujayeng, Tanjunganom, Kabupaten Nganjuk</t>
  </si>
  <si>
    <t>PT Adhitama Sejahtera Alami</t>
  </si>
  <si>
    <t>Rokok Kretek</t>
  </si>
  <si>
    <t>NIB No. 9120100922352</t>
  </si>
  <si>
    <t>Jalan Arum Dalu, Gandu, Bagor, Kabupaten Nganjuk, Jawa Timur</t>
  </si>
  <si>
    <t>PT Borneo Jaya Sakti</t>
  </si>
  <si>
    <t>Industri Mortar atau Beton Siap Pakai</t>
  </si>
  <si>
    <t>semen</t>
  </si>
  <si>
    <t>NIB No. 9120408732928</t>
  </si>
  <si>
    <t>Jl. Klumpit III, RT 002 RW 001, Desa Kurungrejo Kec. Prambon Kab. Nganjuk</t>
  </si>
  <si>
    <t>BIO INDUSTRI GLOBAL</t>
  </si>
  <si>
    <t>Industri Minyak Atsiri</t>
  </si>
  <si>
    <t>NIB No. 0311230062983</t>
  </si>
  <si>
    <t>Jl. Raya Baron RT 02 RW 06 Desa Baron Kec. Baron Kab. Nganjuk</t>
  </si>
  <si>
    <t>BATIK BAYU KRISNA</t>
  </si>
  <si>
    <t>NIB No. 2501230045649</t>
  </si>
  <si>
    <t>Dusun Pancar, Desa Demangan, Kec. Tanjunganom, Kab. Nganjuk</t>
  </si>
  <si>
    <t>PT Perorangan Gunung Rejeki Agung</t>
  </si>
  <si>
    <t xml:space="preserve">Rokok Kretek </t>
  </si>
  <si>
    <t>tembakau</t>
  </si>
  <si>
    <t>NIB No. 3103230054817</t>
  </si>
  <si>
    <t>Perum Baron Timur F/3 Kec. Baron Kab. Nganjuk</t>
  </si>
  <si>
    <t>Tri Zaha</t>
  </si>
  <si>
    <t>ubi ungu, pisang</t>
  </si>
  <si>
    <t>elpiji</t>
  </si>
  <si>
    <t>Desa Sukoharjo Kec. Wilangan Kab. Nganjuk</t>
  </si>
  <si>
    <t>Yuk Serr</t>
  </si>
  <si>
    <t>Jl. Diponegoro VI/29 Kec. Nganjuk Kab. Nganjuk</t>
  </si>
  <si>
    <t>Ayya Aksa Food</t>
  </si>
  <si>
    <t>Pcs</t>
  </si>
  <si>
    <t>kacang, cabe</t>
  </si>
  <si>
    <t>Jalan KH.Wachid Hasyim No. 138, Banaran, Kertosono, Kabupaten Nganjuk</t>
  </si>
  <si>
    <t>CV Sidodadi</t>
  </si>
  <si>
    <t>Pakaian Konveksi</t>
  </si>
  <si>
    <t>NIB No. 9120306501138</t>
  </si>
  <si>
    <t>Perumnas Candirejo Blok J 15 Desa Candirejo Kec. Loceret</t>
  </si>
  <si>
    <t>Shabia Cookies</t>
  </si>
  <si>
    <t>tepung, gula, jahe</t>
  </si>
  <si>
    <t>Kelurahan Werungotok Kec. Nganjuk</t>
  </si>
  <si>
    <t>TawaTahu</t>
  </si>
  <si>
    <t>Tahu walik</t>
  </si>
  <si>
    <t>tahu, tepung</t>
  </si>
  <si>
    <t>gr</t>
  </si>
  <si>
    <t>Jalan Semeru 64, Tanjungrejo, Loceret, Kabupaten Nganjuk</t>
  </si>
  <si>
    <t>CV Karya Perdana Makmur</t>
  </si>
  <si>
    <t>INDUSTRI SIGARET KRETEK TANGAN</t>
  </si>
  <si>
    <t>- PB-Sektor Industri No. 07022400686510001, - NIB No. 0702240068651</t>
  </si>
  <si>
    <t>Dsn.katogan RT/RW .01/02, Sendangbumen, Berbek, Kabupaten Nganjuk</t>
  </si>
  <si>
    <t>PR Sri Umiati Ds</t>
  </si>
  <si>
    <t>sigaret kretek tangan, tembakau iris (TIS)</t>
  </si>
  <si>
    <t>- PB-Sektor Industri No. 91203071023380002, - NIB No. 9120307102338</t>
  </si>
  <si>
    <t>JL. Raya Nganjuk Gondang KM 5, Gempol, Rejoso, Kabupaten Nganjuk</t>
  </si>
  <si>
    <t>PT CAPGLOBAL INDUSTRY INTERNATIONAL</t>
  </si>
  <si>
    <t>Industri Pembuatan Topi</t>
  </si>
  <si>
    <t>Acrylic Yarn</t>
  </si>
  <si>
    <t>- PB-Sektor Industri No. 9120410031503, - NIB No. 9120410031503</t>
  </si>
  <si>
    <t>Jalan PG Lestari, Ngrombot, Patianrowo, Kabupaten Nganjuk</t>
  </si>
  <si>
    <t>CV Agung Karya Bhinneka</t>
  </si>
  <si>
    <t>Sigaret Kretek Tangan</t>
  </si>
  <si>
    <t>- PB-Sektor Industri No. 0508240003572, - NIB No. 0508240003572</t>
  </si>
  <si>
    <t>Jalan Raya Nganjuk - Gondang, Dusun Gebangayu, Kedungdowo, Nganjuk, Kabupaten Nganjuk</t>
  </si>
  <si>
    <t>PT Karya Niaga Bersama</t>
  </si>
  <si>
    <t>Industri Rokok Kretek</t>
  </si>
  <si>
    <t>Tembakau Stelan</t>
  </si>
  <si>
    <t>5.140.657.022</t>
  </si>
  <si>
    <t>- PB-Sektor Industri No. 534/644/411.306/2015, - NIB No. 8120003871663</t>
  </si>
  <si>
    <t>Jalan Raya Lengkong -Jatikalen, Ds. Prayungan, Kec. Lengkong, Nganjuk</t>
  </si>
  <si>
    <t>PT Trijaya Lestari Food</t>
  </si>
  <si>
    <t>INDUSTRI PENGOLAHAN DAN PENGAWETAN PRODUK DAGING DAN DAGING UNGGAS</t>
  </si>
  <si>
    <t>AYAM PEDAGING</t>
  </si>
  <si>
    <t>5.645.512</t>
  </si>
  <si>
    <t>119.257.054.675</t>
  </si>
  <si>
    <t>Solar / HSD / ADO</t>
  </si>
  <si>
    <t>- PB-Sektor Industri No. 9120014030377, - NIB No. 9120014030377</t>
  </si>
  <si>
    <t xml:space="preserve"> JL. Raya Nganjuk-Madiun, Bagor Kulon, Bagor, Kabupaten Nganjuk</t>
  </si>
  <si>
    <t>PT Zhanhui Jaya Indonesia</t>
  </si>
  <si>
    <t>textile materials</t>
  </si>
  <si>
    <t>- PB-Sektor Industri No. 2710210035378, - NIB No. 2710210035378</t>
  </si>
  <si>
    <t>Dsn. Kedungregul, Sambirejo, Tanjunganom, Kabupaten Nganjuk</t>
  </si>
  <si>
    <t>PT Prominen Abadi Sentosa</t>
  </si>
  <si>
    <t xml:space="preserve">Industri Sepatu dan Tas </t>
  </si>
  <si>
    <t>- PB-Sektor Industri No. 9120005450554, - NIB No. 9120005450554</t>
  </si>
  <si>
    <t xml:space="preserve"> Jl. Merdeka II No.3G RT.01/RW01, Mangundikaran, Nganjuk, Kabupaten Nganjuk</t>
  </si>
  <si>
    <t>PR. Fety Kusuma Dewi</t>
  </si>
  <si>
    <t>Telur asin</t>
  </si>
  <si>
    <t>- NIB No. 0276000931481, - Sertifikat Merk atau Tanda Pendaftaran Merk No. IDM000921776</t>
  </si>
  <si>
    <t>Jl.Barito I No.30 Rt/Rw 005/007 Kelurahan Mangundikaran, Kecamatan Nganjuk, Kabupaten Nganjuk</t>
  </si>
  <si>
    <t>PR.Sitta Nurrina Hasyim</t>
  </si>
  <si>
    <t>- NIB No. 0220001520387</t>
  </si>
  <si>
    <t>Jl. AR. Saleh No. 78, Kauman, Nganjuk, Kabupaten Nganjuk</t>
  </si>
  <si>
    <t>PR Tutut Heri Wijayanto</t>
  </si>
  <si>
    <t>450.000.000</t>
  </si>
  <si>
    <t>cetak banner</t>
  </si>
  <si>
    <t>- PB-Sektor Industri No. 0220003381227, - NIB No. 0220003381227</t>
  </si>
  <si>
    <t xml:space="preserve">Jl.Supriyadi No.24, Kauman </t>
  </si>
  <si>
    <t xml:space="preserve">PT.Persada Nawa Kartika </t>
  </si>
  <si>
    <t>300.000.000</t>
  </si>
  <si>
    <t xml:space="preserve">Air Minum Dalam Kemasan </t>
  </si>
  <si>
    <t>- PB-Sektor Industri No. 8120011282779, - NIB No. 8120011282779</t>
  </si>
  <si>
    <t>Dsn. Ngrombot RT/RW 02/04 Ds. Selorejo</t>
  </si>
  <si>
    <t>Kerajinan Gamelan Darmo Laras</t>
  </si>
  <si>
    <t>besi lembaran, kuningan, baja lonjor, kayu mahoni, kayu jati</t>
  </si>
  <si>
    <t>arang, solar,bensin</t>
  </si>
  <si>
    <t>Bulakrejo, Desa Warujayeng</t>
  </si>
  <si>
    <t>Anaya</t>
  </si>
  <si>
    <t>NIB dan Sertifikat Halal ID35110000700811122</t>
  </si>
  <si>
    <t xml:space="preserve"> Jalan Widas No. 19, Begadung, Nganjuk, Kabupaten Nganjuk</t>
  </si>
  <si>
    <t>PT Putra Buana Bersama</t>
  </si>
  <si>
    <t>477.000.000</t>
  </si>
  <si>
    <t xml:space="preserve">18.000,00 </t>
  </si>
  <si>
    <t>- PB-Sektor Industri No. 0907240092135, - NIB No. 0907240092135</t>
  </si>
  <si>
    <t>Dsn Kacangan RT009 RW003, Kacangan, Berbek, Kabupaten Nganjuk</t>
  </si>
  <si>
    <t>PR Mochamad Subekhan Aizis</t>
  </si>
  <si>
    <t>350.000.000</t>
  </si>
  <si>
    <t>Elpiji</t>
  </si>
  <si>
    <t>- PB-Sektor Industri No. 02200087601690001, - NIB No. 0220008760169</t>
  </si>
  <si>
    <t>Jl. Lurah S. Kartoprawiro, Kacangan, Berbek, Kabupaten Nganjuk</t>
  </si>
  <si>
    <t xml:space="preserve"> PR H.Sahid</t>
  </si>
  <si>
    <t>cengkeh</t>
  </si>
  <si>
    <t>- PB-Sektor Industri No. 534/2581/411.306/2012, - NIB No. 9120205341884</t>
  </si>
  <si>
    <t>Dusun Jajar, Sumberkepuh, Tanjunganom, Kabupaten Nganjuk</t>
  </si>
  <si>
    <t>CV Ratu Jaya Gemilang</t>
  </si>
  <si>
    <t>NIB No. 0710240016106</t>
  </si>
  <si>
    <t>Dsn. Jogomerto, RT 001 RW 003, Kel/Ds. Jogomerto, Kec. Tanjunganom, Kab. Nganjuk</t>
  </si>
  <si>
    <t>PT Semulur Jaya Makmur</t>
  </si>
  <si>
    <t>Industri Pupuk</t>
  </si>
  <si>
    <t>kompos</t>
  </si>
  <si>
    <t>NIB No. 2308240044059</t>
  </si>
  <si>
    <t>Kecubung, Kecubung, Pace, Kabupaten Nganjuk</t>
  </si>
  <si>
    <t>PT Manunggal Merdeka Makmur</t>
  </si>
  <si>
    <t>Pupuk Hayati Cair</t>
  </si>
  <si>
    <t>Bakteri Hayati</t>
  </si>
  <si>
    <t>NIB No. 2607240012901</t>
  </si>
  <si>
    <t>JL RAYA SURABAYA MADIUN Km 100, Gebangkerep, Baron, Kabupaten Nganjuk</t>
  </si>
  <si>
    <t>PT Indoprima Gemilang</t>
  </si>
  <si>
    <t>INDUSTRI SUKU CADANG DAN AKSESORI KENDARAAN BERMOTOR RODA EMPAT ATAU LEBIH</t>
  </si>
  <si>
    <t>FUSE TERMINAL</t>
  </si>
  <si>
    <t>- PB-Sektor Industri No. 979/T/INDUSTRI/2008 , - NIB No. 8120005870223</t>
  </si>
  <si>
    <t>Dsn. Mojorjo Desa Plosoharjo Kec. Pace Kab. Nganjuk</t>
  </si>
  <si>
    <t>UD Berkah Alam</t>
  </si>
  <si>
    <t>Kacang kulit oven</t>
  </si>
  <si>
    <t>NIB No. 0310220021239</t>
  </si>
  <si>
    <t>Dusun Jati Ds. Jatikalen Kec. Jatikalen Kab. Nganjuk</t>
  </si>
  <si>
    <t>PADI DESA</t>
  </si>
  <si>
    <t>Industri Tepung Beras Dan Tepung Jagung</t>
  </si>
  <si>
    <t>NIB No. 2203220038493</t>
  </si>
  <si>
    <t>Jl. Murya Dsn. Ngaglik Desa Cerme Kec. Pace Kab. Nganjuk</t>
  </si>
  <si>
    <t>UD. Karunia Jaya Abadi</t>
  </si>
  <si>
    <t>NIB No. 1801230002539</t>
  </si>
  <si>
    <t>Tembarak Gg II, Desa/Kelurahan Tembarak, Kec. Kertosono, Kab.
Nganjuk</t>
  </si>
  <si>
    <t>ANIS WISANTI</t>
  </si>
  <si>
    <t>Industri Tepung dan Makanan Olahan</t>
  </si>
  <si>
    <t>NIB No. 3110220085899</t>
  </si>
  <si>
    <t>Jl. Apokat, Desa/Kelurahan Mlandangan, Kec. Pace, Kab. Nganjuk</t>
  </si>
  <si>
    <t>SHAKURA ANUGERAH SEJAHTERA</t>
  </si>
  <si>
    <t>Industri Pakaian Jadi (Konveksi) Dari Tekstil</t>
  </si>
  <si>
    <t>NIB No. 0111230046443</t>
  </si>
  <si>
    <t>Jl. Raya Nganjuk kertosono, Kedungsoko, Sukomoro, Kabupaten Nganjuk</t>
  </si>
  <si>
    <t>PT Lotus Indah Textile Industries</t>
  </si>
  <si>
    <t>INDUSTRI PEMINTALAN BENANG</t>
  </si>
  <si>
    <t>kapas sintesis</t>
  </si>
  <si>
    <t>162.253 </t>
  </si>
  <si>
    <t>4.375.051.882</t>
  </si>
  <si>
    <t xml:space="preserve">Solar / HSD / ADO, Pelumas </t>
  </si>
  <si>
    <t>5.000 </t>
  </si>
  <si>
    <t>- PB-Sektor Industri No. 73/T/INDUSTRI/1994, - NIB No. 8120003922952</t>
  </si>
  <si>
    <t>Jalan Bengawan Solo, Kelurahan Werungotok, Putren, Sukomoro, Kabupaten Nganjuk</t>
  </si>
  <si>
    <t>PT Indo Pack Printing</t>
  </si>
  <si>
    <t>Industri Percetakan Umum</t>
  </si>
  <si>
    <t>- PB-Sektor Industri No. 81201027822690001, - NIB No. 8120102782269</t>
  </si>
  <si>
    <t>DUSUN BULUREJO, Sawahan, Sawahan, Kabupaten Nganjuk</t>
  </si>
  <si>
    <t>CV Indo Atsiri</t>
  </si>
  <si>
    <t>- PB-Sektor Industri No. 12300006024940006, - NIB No. 1230000602494</t>
  </si>
  <si>
    <t>Jl. Merdeka Timur Rt. 003, RW. 005, Lengkong, Lengkong, Kabupaten Nganjuk</t>
  </si>
  <si>
    <t>CV Sinar Baja Electric Co Ltd</t>
  </si>
  <si>
    <t>Industri peralatan audio dan video elektronik lainnya</t>
  </si>
  <si>
    <t>Voice Coil Vire, Former, Cloath, Rubber</t>
  </si>
  <si>
    <t>1.521.811</t>
  </si>
  <si>
    <t xml:space="preserve">- PB-Sektor Industri No. 8120007912211, - API No. 133700563-P, </t>
  </si>
  <si>
    <t xml:space="preserve"> JALAN SURABAYA-MADIUN KM 115,8 Kelurahan Kecamatan, Pehserut, Sukomoro, Kabupaten Nganjuk</t>
  </si>
  <si>
    <t>PT Tirta Sukses Perkasa</t>
  </si>
  <si>
    <t>Industri Air Minum Dalam Kemasan</t>
  </si>
  <si>
    <t>- PB-Sektor Industri No. 8120107920446, - NIB No. 8120107920446</t>
  </si>
  <si>
    <t>Jl. Artikan RT.001 RW.001, Kecubung, Pace, Kabupaten Nganjuk</t>
  </si>
  <si>
    <t>PT Limmas Anugrah Plasindo</t>
  </si>
  <si>
    <t>INDUSTRI TERPAL PLASTIK</t>
  </si>
  <si>
    <t>TITANVENE HD, INNOPLUS HDPE, COSMOTHENE LDPE, ASRENE LLDPE</t>
  </si>
  <si>
    <t>Pelumas</t>
  </si>
  <si>
    <t xml:space="preserve"> - PB-Sektor Industri No. 91200038922740003
- API-P No. 9120003892274</t>
  </si>
  <si>
    <t>Jl. Raya DPU Desa Jegreg Kec Lengkong Kab Nganjuk, Jegreg, Lengkong, Kabupaten Nganjuk</t>
  </si>
  <si>
    <t>PT Sinar Jaya Prima Perkasa</t>
  </si>
  <si>
    <t>Industri Barang Dari Plastik Untuk Pengemasan (Karung &amp; Terpal</t>
  </si>
  <si>
    <t xml:space="preserve">kilogram </t>
  </si>
  <si>
    <t>CALCIUM, LINEAR LOW DENSITY POLYETHYLENE, LOW DENSITY POLYETHYLENE, MASTERBATCH, HIGH DENSITY POLYETHYLENE, POLYPROPYLENE</t>
  </si>
  <si>
    <t xml:space="preserve"> - PB-Sektor Industri No. 8120014290814, - NIB No. 8120014290814</t>
  </si>
  <si>
    <t>Dusun Ngrombot, RT 02 RW 001, Ngrombot, Patianrowo, Kabupaten Nganjuk</t>
  </si>
  <si>
    <t>PT Sinergi Gula Nusantara</t>
  </si>
  <si>
    <t>Industri Gula Pasir berbahan baku Tebu</t>
  </si>
  <si>
    <t>TEBU</t>
  </si>
  <si>
    <t>- PB-Sektor Industri No. 1309210010677, - NIB No. 1309210010677</t>
  </si>
  <si>
    <t>JL. RAYA NGANJUK-GONDANG KM 5.5 NO. 88, Gempol, Rejoso, Kabupaten Nganjuk</t>
  </si>
  <si>
    <t>PT Mitra Saruta Indonesia</t>
  </si>
  <si>
    <t>INDUSTRI PEMINTALAN BENANG,INDUSTRI PERLENGKAPAN PAKAIAN DARI TEKSTIL</t>
  </si>
  <si>
    <t xml:space="preserve">Polyester Staple Fiber RW, Cotton, Artificial Fiber </t>
  </si>
  <si>
    <t>1.772.414</t>
  </si>
  <si>
    <t>- PB-Sektor Industri No. 534/2304/411.306/2015, - NIB No. 8120200980854</t>
  </si>
  <si>
    <t>Babadan, Babadan, Pace, Kabupaten Nganjuk</t>
  </si>
  <si>
    <t>PT Gudang Garam Tbk</t>
  </si>
  <si>
    <t>Industri Sigaret kretek tangan</t>
  </si>
  <si>
    <t>Tembakau iris</t>
  </si>
  <si>
    <t>- PB-Sektor Industri No. 81200009618840033, - NIB No. 8120000961884</t>
  </si>
  <si>
    <t>Dusun Songsong RT 12 RW 02 Desa Jatikalen, Jatikalen</t>
  </si>
  <si>
    <t>PT Cahaya Poles Mulia</t>
  </si>
  <si>
    <t>Industri Tekstil Lainnya Ytdl (kecuali pakaian jadi) dan Industri Sabun Dan Bahan Pembersih Keperluan Rumah Tangga</t>
  </si>
  <si>
    <t>Sodium Bisulphate</t>
  </si>
  <si>
    <t xml:space="preserve">1.014,3 </t>
  </si>
  <si>
    <t>Batubara, Briket batubara</t>
  </si>
  <si>
    <t>- PB-Sektor Industri No. 503/125/404.3.7/2007, - NIB No. 8120001940283</t>
  </si>
  <si>
    <t>Jl. Raya Surabaya Madiun Km 99, Desa Kepuh, Kertosono, Kabupaten Nganjuk</t>
  </si>
  <si>
    <t xml:space="preserve"> PT JAYA KERTAS</t>
  </si>
  <si>
    <t>Industri Kertas</t>
  </si>
  <si>
    <t>old corrugated Cartons</t>
  </si>
  <si>
    <t>luar negeri</t>
  </si>
  <si>
    <t>NIB No. 8120002881652</t>
  </si>
  <si>
    <t>Jl. Guyangan No 86, Kerepkidul, Bagor, Kabupaten Nganjuk, Jawa Timur</t>
  </si>
  <si>
    <t>PT EAGLE SPORTING GOODS</t>
  </si>
  <si>
    <t xml:space="preserve">Industri Barang Dari Kulit Dan Kulit Buatan Untuk Keperluan Pribadi </t>
  </si>
  <si>
    <t>Mesh Laminated, Plastic Bottom, Poly PU, Non Woven Fabrics, Polyester, Nylon</t>
  </si>
  <si>
    <t>NIB. 9120005811072</t>
  </si>
  <si>
    <t>Jalan MT. Haryono 19, Desa/Kelurahan Ploso, Kec. Nganjuk Kab. Nganjuk Provinsi Jawa Timur</t>
  </si>
  <si>
    <t>PR Rining Indriani, Bsc</t>
  </si>
  <si>
    <t>Bawang Goreng</t>
  </si>
  <si>
    <t>NIB. 9120003570623</t>
  </si>
  <si>
    <t>Jl. Raya Guyangan No. 88 ds. Kerepkidul, kec. Bagor, Kerepkidul, Bagor, Kabupaten Nganjuk, Jawa Timur</t>
  </si>
  <si>
    <t>PT Kharisma Baru Indonesia</t>
  </si>
  <si>
    <t>Industri Alas Kaki Untuk Keperluan Sehari-hari</t>
  </si>
  <si>
    <t>pasang</t>
  </si>
  <si>
    <t>busa, benang, kain canva, sole, spon</t>
  </si>
  <si>
    <t>NIB. 8120107921798</t>
  </si>
  <si>
    <t>Raya Jegreg DPU, Jegreg, Lengkong, Kabupaten Nganjuk, Jawa Timur</t>
  </si>
  <si>
    <t>PT Gunawan Fajar</t>
  </si>
  <si>
    <t>Industri Barang Dari Plastik Untuk Pengemasan</t>
  </si>
  <si>
    <t>NIB. 8120116110424</t>
  </si>
  <si>
    <t>Panglima sudirman No. 02 RT.001 RW.002, Bulu, Berbek, Kabupaten Nganjuk, Jawa Timur</t>
  </si>
  <si>
    <t>PT Rimba Damai Sejahtera</t>
  </si>
  <si>
    <t>Industri Rokok</t>
  </si>
  <si>
    <t>NIB. 0206220054198</t>
  </si>
  <si>
    <t>JL. Lengkong-Jatikalen, Ngasem, Jatikalen, Kabupaten Nganjuk, Jawa Timur</t>
  </si>
  <si>
    <t>PT Karunia Ultima Kemasan</t>
  </si>
  <si>
    <t>LLDPE, NYLON FILM, ALUMINUM FILM</t>
  </si>
  <si>
    <t>NIB. 8120100922812</t>
  </si>
  <si>
    <t>Jalan Gondang-Lengkong, Gondangkulon, Gondang, Kabupaten Nganjuk, Jawa Timur</t>
  </si>
  <si>
    <t>PT Sukses Abadi Indonesia</t>
  </si>
  <si>
    <t>Industri Sepatu Olah Raga</t>
  </si>
  <si>
    <t>PRIMER P-ME, HARDENER 08BF, PU SYNTHETIC LEATHER</t>
  </si>
  <si>
    <t>NIB. 9120116172999</t>
  </si>
  <si>
    <t>PT Rimba Kawan Nusantara</t>
  </si>
  <si>
    <t xml:space="preserve">Industri Sigaret Kretek Tangan, Industri Rokok Putih, Industri Rokok Lainnya </t>
  </si>
  <si>
    <t>NIB. 1509230045919</t>
  </si>
  <si>
    <t>Jl. Raya Panglima Sudirman KM 04, Dsn. Klinter, Kec. Kertosono, Kab. Nganjuk</t>
  </si>
  <si>
    <t>PT Indofood Sukses Makmur Tbk</t>
  </si>
  <si>
    <t>Tepung Terigu</t>
  </si>
  <si>
    <t>gandum</t>
  </si>
  <si>
    <t>NIB. 8120201901607</t>
  </si>
  <si>
    <t>Jl Joko Tole, Campur, Gondang, Kabupaten Nganjuk, Jawa Timur</t>
  </si>
  <si>
    <t xml:space="preserve"> PT Dian Anugerah Permata</t>
  </si>
  <si>
    <t>Industri Rokok Kretek Tangan</t>
  </si>
  <si>
    <t>NIB. 2906250027598</t>
  </si>
  <si>
    <t>Jl Mastrip no 37, Ganung Kidul, Nganjuk, Kabupaten Nganjuk, Jawa Timur</t>
  </si>
  <si>
    <t xml:space="preserve"> PR Kurnia Hidayati</t>
  </si>
  <si>
    <t>Bawang merah, bawang putih, garam</t>
  </si>
  <si>
    <t>NIB. 0710250003689</t>
  </si>
  <si>
    <t>Dusun Nglaban Desa Babadan Kec. Patianrowo Kab. Nganjuk</t>
  </si>
  <si>
    <t>UD Cahaya Biru</t>
  </si>
  <si>
    <t>padi gerabah</t>
  </si>
  <si>
    <t>NIB. 1509220181752</t>
  </si>
  <si>
    <t>Jalan Dipoyono no 14, Guyangan, Bagor, Kabupaten Nganjuk</t>
  </si>
  <si>
    <t>PT Hanjaya Mandala Sampoerna Tbk</t>
  </si>
  <si>
    <t>NIB. 8120111282872</t>
  </si>
  <si>
    <t>Jl. Gondang - Lengkong, Sempayang, Ja"an, Ja"an, Gondang, Kabupaten Nganjuk</t>
  </si>
  <si>
    <t>PT Mitramulia Makmur</t>
  </si>
  <si>
    <t>Kemasan Plastik</t>
  </si>
  <si>
    <t>plastik polimer</t>
  </si>
  <si>
    <t>NIB. 8120119280079</t>
  </si>
  <si>
    <t>Dusun Sono RT 004 RW 003 Desa Sonopatik Kec. Berbek Kab. Nganjuk</t>
  </si>
  <si>
    <t>Dapur Sehat Umik</t>
  </si>
  <si>
    <t>Keripik pisang, keripik tempe, stik bawang</t>
  </si>
  <si>
    <t>pisang, tepung terigu</t>
  </si>
  <si>
    <t>NIB. 1222000450459</t>
  </si>
  <si>
    <t>Jl. Raya Lengkong - Jatikalen, Prayungan, Lengkong, Kabupaten Nganjuk</t>
  </si>
  <si>
    <t>PT Harapan Jaya Liman</t>
  </si>
  <si>
    <t>Industri percetakan kain</t>
  </si>
  <si>
    <t>kapas, benang</t>
  </si>
  <si>
    <t>NIB. 9120001482206</t>
  </si>
  <si>
    <t>Jalan Rejoso - Gondang, Ngangkatan, Rejoso, Kabupaten Nganjuk</t>
  </si>
  <si>
    <t>PT Belfoods Indonesia</t>
  </si>
  <si>
    <t>Sosis, Chiken Nugget</t>
  </si>
  <si>
    <t>Ayam Karkas</t>
  </si>
  <si>
    <t>kilogram</t>
  </si>
  <si>
    <t>CNG</t>
  </si>
  <si>
    <t>MMBTU</t>
  </si>
  <si>
    <t>NIB. 8120017040018</t>
  </si>
  <si>
    <t>propinsi</t>
  </si>
  <si>
    <t>kabupaten</t>
  </si>
  <si>
    <t>tahun</t>
  </si>
  <si>
    <t>Jawa Timur</t>
  </si>
  <si>
    <t>Jalan/Desa</t>
  </si>
  <si>
    <t>Jmlh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</si>
</sst>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Rp&quot;* #,##0_-;\-&quot;Rp&quot;* #,##0_-;_-&quot;Rp&quot;* &quot;-&quot;_-;_-@_-"/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  <numFmt numFmtId="166" formatCode="_(* #,##0_);_(* \(#,##0\);_(* &quot;-&quot;_);_(@_)"/>
    <numFmt numFmtId="167" formatCode="0;[Red]0"/>
    <numFmt numFmtId="168" formatCode="[$-409]dd\-mmm\-yy;@"/>
    <numFmt numFmtId="169" formatCode="#,##0.0"/>
    <numFmt numFmtId="170" formatCode="_(* #,##0.0_);_(* \(#,##0.0\);_(* &quot;-&quot;_);_(@_)"/>
    <numFmt numFmtId="171" formatCode="[$-409]d\-mmm\-yy;@"/>
    <numFmt numFmtId="172" formatCode="#,##0;[Red]#,##0"/>
    <numFmt numFmtId="173" formatCode="_(* #,##0.0_);_(* \(#,##0.0\);_(* &quot;-&quot;??_);_(@_)"/>
    <numFmt numFmtId="174" formatCode="_-[$Rp-421]* #,##0.00_ ;_-[$Rp-421]* \-#,##0.00\ ;_-[$Rp-421]* &quot;-&quot;??_ ;_-@_ "/>
    <numFmt numFmtId="175" formatCode="_(* #,##0.00_);_(* \(#,##0.00\);_(* &quot;-&quot;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vertAlign val="superscript"/>
      <sz val="8"/>
      <name val="Arial"/>
      <family val="2"/>
    </font>
    <font>
      <b/>
      <u/>
      <sz val="8"/>
      <name val="Arial"/>
      <family val="2"/>
    </font>
    <font>
      <sz val="8"/>
      <color theme="1"/>
      <name val="Arial"/>
      <family val="2"/>
    </font>
    <font>
      <sz val="11"/>
      <name val="Calibri"/>
      <family val="2"/>
      <charset val="1"/>
      <scheme val="minor"/>
    </font>
    <font>
      <sz val="9"/>
      <color theme="1"/>
      <name val="Times New Roman"/>
      <family val="1"/>
    </font>
    <font>
      <sz val="8"/>
      <name val="Times New Roman"/>
      <family val="1"/>
    </font>
    <font>
      <sz val="8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8F8F8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8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1" fillId="0" borderId="0"/>
  </cellStyleXfs>
  <cellXfs count="297">
    <xf numFmtId="0" fontId="0" fillId="0" borderId="0" xfId="0"/>
    <xf numFmtId="0" fontId="4" fillId="0" borderId="0" xfId="1" applyFont="1"/>
    <xf numFmtId="1" fontId="4" fillId="0" borderId="0" xfId="1" applyNumberFormat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left"/>
    </xf>
    <xf numFmtId="166" fontId="4" fillId="0" borderId="0" xfId="3" applyFont="1" applyFill="1" applyAlignment="1">
      <alignment horizontal="right"/>
    </xf>
    <xf numFmtId="165" fontId="4" fillId="0" borderId="0" xfId="2" applyNumberFormat="1" applyFont="1" applyFill="1" applyAlignment="1">
      <alignment horizontal="right"/>
    </xf>
    <xf numFmtId="166" fontId="4" fillId="0" borderId="0" xfId="3" applyFont="1" applyFill="1"/>
    <xf numFmtId="0" fontId="3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1" fontId="4" fillId="0" borderId="10" xfId="1" applyNumberFormat="1" applyFont="1" applyBorder="1" applyAlignment="1">
      <alignment horizontal="center" vertical="center"/>
    </xf>
    <xf numFmtId="0" fontId="4" fillId="0" borderId="2" xfId="1" applyFont="1" applyBorder="1" applyAlignment="1">
      <alignment horizontal="center"/>
    </xf>
    <xf numFmtId="166" fontId="4" fillId="0" borderId="2" xfId="3" applyFont="1" applyFill="1" applyBorder="1" applyAlignment="1">
      <alignment horizontal="right" vertical="center"/>
    </xf>
    <xf numFmtId="166" fontId="4" fillId="0" borderId="2" xfId="3" applyFont="1" applyFill="1" applyBorder="1" applyAlignment="1">
      <alignment horizontal="center" vertical="center"/>
    </xf>
    <xf numFmtId="165" fontId="4" fillId="0" borderId="2" xfId="2" applyNumberFormat="1" applyFont="1" applyFill="1" applyBorder="1" applyAlignment="1">
      <alignment vertical="center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left" vertical="center" wrapText="1"/>
    </xf>
    <xf numFmtId="166" fontId="4" fillId="0" borderId="2" xfId="3" applyFont="1" applyFill="1" applyBorder="1" applyAlignment="1">
      <alignment horizontal="right" vertical="center" wrapText="1"/>
    </xf>
    <xf numFmtId="3" fontId="4" fillId="0" borderId="2" xfId="1" applyNumberFormat="1" applyFont="1" applyBorder="1" applyAlignment="1">
      <alignment horizontal="left" vertical="center" wrapText="1"/>
    </xf>
    <xf numFmtId="3" fontId="4" fillId="0" borderId="2" xfId="1" applyNumberFormat="1" applyFont="1" applyBorder="1" applyAlignment="1">
      <alignment horizontal="center" vertical="center" wrapText="1"/>
    </xf>
    <xf numFmtId="1" fontId="4" fillId="0" borderId="2" xfId="1" applyNumberFormat="1" applyFont="1" applyBorder="1" applyAlignment="1">
      <alignment horizontal="center" vertical="center" wrapText="1"/>
    </xf>
    <xf numFmtId="168" fontId="4" fillId="0" borderId="10" xfId="1" applyNumberFormat="1" applyFont="1" applyBorder="1" applyAlignment="1">
      <alignment horizontal="center" vertical="center"/>
    </xf>
    <xf numFmtId="0" fontId="4" fillId="0" borderId="5" xfId="1" applyFont="1" applyBorder="1"/>
    <xf numFmtId="0" fontId="4" fillId="0" borderId="10" xfId="1" applyFont="1" applyBorder="1" applyAlignment="1">
      <alignment horizontal="center" vertical="center"/>
    </xf>
    <xf numFmtId="15" fontId="4" fillId="0" borderId="11" xfId="1" quotePrefix="1" applyNumberFormat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 wrapText="1"/>
    </xf>
    <xf numFmtId="15" fontId="4" fillId="0" borderId="12" xfId="1" quotePrefix="1" applyNumberFormat="1" applyFont="1" applyBorder="1" applyAlignment="1">
      <alignment horizontal="center" vertical="center"/>
    </xf>
    <xf numFmtId="169" fontId="4" fillId="0" borderId="2" xfId="1" applyNumberFormat="1" applyFont="1" applyBorder="1" applyAlignment="1">
      <alignment horizontal="left" vertical="center" wrapText="1"/>
    </xf>
    <xf numFmtId="170" fontId="4" fillId="0" borderId="2" xfId="3" applyNumberFormat="1" applyFont="1" applyFill="1" applyBorder="1" applyAlignment="1">
      <alignment horizontal="right" vertical="center" wrapText="1"/>
    </xf>
    <xf numFmtId="166" fontId="4" fillId="0" borderId="2" xfId="3" applyFont="1" applyFill="1" applyBorder="1" applyAlignment="1">
      <alignment vertical="center" wrapText="1"/>
    </xf>
    <xf numFmtId="15" fontId="4" fillId="0" borderId="11" xfId="1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2" xfId="1" applyFont="1" applyBorder="1" applyAlignment="1">
      <alignment vertical="center" wrapText="1"/>
    </xf>
    <xf numFmtId="171" fontId="4" fillId="0" borderId="10" xfId="1" applyNumberFormat="1" applyFont="1" applyBorder="1" applyAlignment="1">
      <alignment horizontal="center" vertical="center"/>
    </xf>
    <xf numFmtId="0" fontId="4" fillId="0" borderId="2" xfId="1" applyFont="1" applyBorder="1" applyAlignment="1">
      <alignment horizontal="right" vertical="center" wrapText="1"/>
    </xf>
    <xf numFmtId="172" fontId="4" fillId="0" borderId="2" xfId="1" applyNumberFormat="1" applyFont="1" applyBorder="1" applyAlignment="1">
      <alignment horizontal="right" vertical="center" wrapText="1"/>
    </xf>
    <xf numFmtId="0" fontId="4" fillId="0" borderId="6" xfId="1" applyFont="1" applyBorder="1" applyAlignment="1">
      <alignment horizontal="center" vertical="center" wrapText="1"/>
    </xf>
    <xf numFmtId="3" fontId="4" fillId="0" borderId="2" xfId="1" applyNumberFormat="1" applyFont="1" applyBorder="1" applyAlignment="1">
      <alignment horizontal="right" vertical="center" wrapText="1"/>
    </xf>
    <xf numFmtId="172" fontId="4" fillId="0" borderId="2" xfId="1" applyNumberFormat="1" applyFont="1" applyBorder="1" applyAlignment="1">
      <alignment vertical="center" wrapText="1"/>
    </xf>
    <xf numFmtId="0" fontId="4" fillId="0" borderId="5" xfId="1" applyFont="1" applyBorder="1" applyAlignment="1">
      <alignment vertical="center" wrapText="1"/>
    </xf>
    <xf numFmtId="0" fontId="4" fillId="0" borderId="0" xfId="1" applyFont="1" applyAlignment="1">
      <alignment horizontal="left" vertical="center" wrapText="1"/>
    </xf>
    <xf numFmtId="166" fontId="4" fillId="0" borderId="0" xfId="3" applyFont="1" applyFill="1" applyAlignment="1">
      <alignment horizontal="right" vertical="center" wrapText="1"/>
    </xf>
    <xf numFmtId="0" fontId="4" fillId="0" borderId="0" xfId="1" applyFont="1" applyAlignment="1">
      <alignment horizontal="center" vertical="center" wrapText="1"/>
    </xf>
    <xf numFmtId="165" fontId="4" fillId="0" borderId="2" xfId="2" applyNumberFormat="1" applyFont="1" applyFill="1" applyBorder="1" applyAlignment="1">
      <alignment horizontal="right" vertical="center" wrapText="1"/>
    </xf>
    <xf numFmtId="165" fontId="4" fillId="0" borderId="2" xfId="2" applyNumberFormat="1" applyFont="1" applyFill="1" applyBorder="1" applyAlignment="1">
      <alignment vertical="center" wrapText="1"/>
    </xf>
    <xf numFmtId="166" fontId="4" fillId="0" borderId="0" xfId="3" applyFont="1" applyFill="1" applyBorder="1" applyAlignment="1">
      <alignment vertical="center" wrapText="1"/>
    </xf>
    <xf numFmtId="14" fontId="4" fillId="0" borderId="10" xfId="1" applyNumberFormat="1" applyFont="1" applyBorder="1" applyAlignment="1">
      <alignment horizontal="center" vertical="center"/>
    </xf>
    <xf numFmtId="1" fontId="4" fillId="0" borderId="2" xfId="1" applyNumberFormat="1" applyFont="1" applyBorder="1" applyAlignment="1">
      <alignment horizontal="right" vertical="center" wrapText="1"/>
    </xf>
    <xf numFmtId="49" fontId="4" fillId="0" borderId="2" xfId="1" applyNumberFormat="1" applyFont="1" applyBorder="1" applyAlignment="1">
      <alignment horizontal="left" vertical="center" wrapText="1"/>
    </xf>
    <xf numFmtId="171" fontId="4" fillId="0" borderId="11" xfId="1" applyNumberFormat="1" applyFont="1" applyBorder="1" applyAlignment="1">
      <alignment horizontal="center" vertical="center"/>
    </xf>
    <xf numFmtId="173" fontId="4" fillId="0" borderId="2" xfId="2" applyNumberFormat="1" applyFont="1" applyFill="1" applyBorder="1" applyAlignment="1">
      <alignment horizontal="right" vertical="center" wrapText="1"/>
    </xf>
    <xf numFmtId="20" fontId="4" fillId="0" borderId="2" xfId="3" applyNumberFormat="1" applyFont="1" applyFill="1" applyBorder="1" applyAlignment="1">
      <alignment horizontal="right" vertical="center" wrapText="1"/>
    </xf>
    <xf numFmtId="165" fontId="4" fillId="0" borderId="2" xfId="2" applyNumberFormat="1" applyFont="1" applyFill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168" fontId="4" fillId="0" borderId="11" xfId="1" applyNumberFormat="1" applyFont="1" applyBorder="1" applyAlignment="1">
      <alignment horizontal="center" vertical="center"/>
    </xf>
    <xf numFmtId="168" fontId="4" fillId="0" borderId="10" xfId="1" applyNumberFormat="1" applyFont="1" applyBorder="1" applyAlignment="1">
      <alignment horizontal="center" vertical="center" wrapText="1"/>
    </xf>
    <xf numFmtId="1" fontId="4" fillId="0" borderId="0" xfId="1" applyNumberFormat="1" applyFont="1" applyAlignment="1">
      <alignment vertical="center" wrapText="1"/>
    </xf>
    <xf numFmtId="0" fontId="4" fillId="0" borderId="0" xfId="1" applyFont="1" applyAlignment="1">
      <alignment vertical="center" wrapText="1"/>
    </xf>
    <xf numFmtId="0" fontId="4" fillId="0" borderId="3" xfId="1" applyFont="1" applyBorder="1" applyAlignment="1">
      <alignment vertical="center" wrapText="1"/>
    </xf>
    <xf numFmtId="1" fontId="4" fillId="0" borderId="2" xfId="4" applyNumberFormat="1" applyFont="1" applyFill="1" applyBorder="1" applyAlignment="1">
      <alignment horizontal="right" vertical="center" wrapText="1"/>
    </xf>
    <xf numFmtId="0" fontId="4" fillId="0" borderId="6" xfId="1" applyFont="1" applyBorder="1" applyAlignment="1">
      <alignment vertical="center" wrapText="1"/>
    </xf>
    <xf numFmtId="0" fontId="4" fillId="0" borderId="10" xfId="1" applyFont="1" applyBorder="1" applyAlignment="1">
      <alignment vertical="center" wrapText="1"/>
    </xf>
    <xf numFmtId="3" fontId="4" fillId="0" borderId="2" xfId="3" applyNumberFormat="1" applyFont="1" applyFill="1" applyBorder="1" applyAlignment="1">
      <alignment horizontal="right" vertical="center" wrapText="1"/>
    </xf>
    <xf numFmtId="0" fontId="4" fillId="0" borderId="5" xfId="1" applyFont="1" applyBorder="1" applyAlignment="1">
      <alignment horizontal="center" vertical="center" wrapText="1"/>
    </xf>
    <xf numFmtId="3" fontId="4" fillId="0" borderId="2" xfId="1" applyNumberFormat="1" applyFont="1" applyBorder="1" applyAlignment="1">
      <alignment vertical="center" wrapText="1"/>
    </xf>
    <xf numFmtId="15" fontId="4" fillId="0" borderId="10" xfId="1" quotePrefix="1" applyNumberFormat="1" applyFont="1" applyBorder="1" applyAlignment="1">
      <alignment horizontal="center" vertical="center"/>
    </xf>
    <xf numFmtId="3" fontId="4" fillId="0" borderId="6" xfId="3" applyNumberFormat="1" applyFont="1" applyFill="1" applyBorder="1" applyAlignment="1">
      <alignment horizontal="right" vertical="center" wrapText="1"/>
    </xf>
    <xf numFmtId="166" fontId="4" fillId="0" borderId="2" xfId="3" applyFont="1" applyBorder="1" applyAlignment="1">
      <alignment vertical="center" wrapText="1"/>
    </xf>
    <xf numFmtId="0" fontId="4" fillId="0" borderId="6" xfId="1" applyFont="1" applyBorder="1" applyAlignment="1">
      <alignment horizontal="left" vertical="center" wrapText="1"/>
    </xf>
    <xf numFmtId="0" fontId="4" fillId="0" borderId="13" xfId="1" applyFont="1" applyBorder="1" applyAlignment="1">
      <alignment horizontal="center" vertical="center" wrapText="1"/>
    </xf>
    <xf numFmtId="165" fontId="4" fillId="0" borderId="2" xfId="2" applyNumberFormat="1" applyFont="1" applyBorder="1" applyAlignment="1">
      <alignment horizontal="right" vertical="center" wrapText="1"/>
    </xf>
    <xf numFmtId="3" fontId="4" fillId="0" borderId="0" xfId="1" applyNumberFormat="1" applyFont="1" applyAlignment="1">
      <alignment vertical="center" wrapText="1"/>
    </xf>
    <xf numFmtId="0" fontId="4" fillId="0" borderId="11" xfId="1" applyFont="1" applyBorder="1" applyAlignment="1">
      <alignment horizontal="center" vertical="center" wrapText="1"/>
    </xf>
    <xf numFmtId="3" fontId="4" fillId="0" borderId="3" xfId="1" applyNumberFormat="1" applyFont="1" applyBorder="1" applyAlignment="1">
      <alignment horizontal="right" vertical="center" wrapText="1"/>
    </xf>
    <xf numFmtId="0" fontId="4" fillId="0" borderId="4" xfId="1" applyFont="1" applyBorder="1" applyAlignment="1">
      <alignment horizontal="center" vertical="center" wrapText="1"/>
    </xf>
    <xf numFmtId="3" fontId="4" fillId="0" borderId="5" xfId="1" applyNumberFormat="1" applyFont="1" applyBorder="1" applyAlignment="1">
      <alignment vertical="center" wrapText="1"/>
    </xf>
    <xf numFmtId="3" fontId="4" fillId="0" borderId="3" xfId="1" applyNumberFormat="1" applyFont="1" applyBorder="1" applyAlignment="1">
      <alignment vertical="center" wrapText="1"/>
    </xf>
    <xf numFmtId="0" fontId="4" fillId="0" borderId="2" xfId="2" applyNumberFormat="1" applyFont="1" applyFill="1" applyBorder="1" applyAlignment="1">
      <alignment horizontal="center" vertical="center" wrapText="1"/>
    </xf>
    <xf numFmtId="3" fontId="4" fillId="0" borderId="2" xfId="1" applyNumberFormat="1" applyFont="1" applyBorder="1" applyAlignment="1">
      <alignment horizontal="center" wrapText="1"/>
    </xf>
    <xf numFmtId="1" fontId="4" fillId="0" borderId="2" xfId="1" applyNumberFormat="1" applyFont="1" applyBorder="1" applyAlignment="1">
      <alignment horizontal="center" wrapText="1"/>
    </xf>
    <xf numFmtId="1" fontId="3" fillId="0" borderId="2" xfId="1" applyNumberFormat="1" applyFont="1" applyBorder="1" applyAlignment="1">
      <alignment horizontal="center" vertical="center" wrapText="1"/>
    </xf>
    <xf numFmtId="168" fontId="3" fillId="0" borderId="10" xfId="1" applyNumberFormat="1" applyFont="1" applyBorder="1" applyAlignment="1">
      <alignment horizontal="center" vertical="center"/>
    </xf>
    <xf numFmtId="0" fontId="3" fillId="0" borderId="5" xfId="1" applyFont="1" applyBorder="1"/>
    <xf numFmtId="1" fontId="3" fillId="0" borderId="0" xfId="1" applyNumberFormat="1" applyFont="1"/>
    <xf numFmtId="0" fontId="3" fillId="0" borderId="0" xfId="1" applyFont="1"/>
    <xf numFmtId="49" fontId="4" fillId="0" borderId="2" xfId="1" applyNumberFormat="1" applyFont="1" applyBorder="1" applyAlignment="1">
      <alignment vertical="center" wrapText="1"/>
    </xf>
    <xf numFmtId="1" fontId="4" fillId="0" borderId="2" xfId="1" applyNumberFormat="1" applyFont="1" applyBorder="1" applyAlignment="1">
      <alignment vertical="center" wrapText="1"/>
    </xf>
    <xf numFmtId="49" fontId="4" fillId="0" borderId="2" xfId="1" applyNumberFormat="1" applyFont="1" applyBorder="1" applyAlignment="1">
      <alignment horizontal="center" vertical="center" wrapText="1"/>
    </xf>
    <xf numFmtId="49" fontId="4" fillId="0" borderId="11" xfId="1" applyNumberFormat="1" applyFont="1" applyBorder="1" applyAlignment="1">
      <alignment vertical="center"/>
    </xf>
    <xf numFmtId="1" fontId="4" fillId="0" borderId="2" xfId="3" applyNumberFormat="1" applyFont="1" applyFill="1" applyBorder="1" applyAlignment="1">
      <alignment horizontal="right" vertical="center" wrapText="1"/>
    </xf>
    <xf numFmtId="0" fontId="4" fillId="0" borderId="2" xfId="1" applyFont="1" applyBorder="1" applyAlignment="1">
      <alignment wrapText="1"/>
    </xf>
    <xf numFmtId="0" fontId="4" fillId="0" borderId="2" xfId="1" applyFont="1" applyBorder="1" applyAlignment="1">
      <alignment horizontal="center" wrapText="1"/>
    </xf>
    <xf numFmtId="166" fontId="4" fillId="0" borderId="2" xfId="3" applyFont="1" applyFill="1" applyBorder="1" applyAlignment="1">
      <alignment horizontal="right" wrapText="1"/>
    </xf>
    <xf numFmtId="0" fontId="4" fillId="0" borderId="2" xfId="1" applyFont="1" applyBorder="1" applyAlignment="1">
      <alignment horizontal="left" wrapText="1"/>
    </xf>
    <xf numFmtId="166" fontId="4" fillId="0" borderId="2" xfId="3" applyFont="1" applyFill="1" applyBorder="1" applyAlignment="1">
      <alignment wrapText="1"/>
    </xf>
    <xf numFmtId="165" fontId="4" fillId="0" borderId="2" xfId="2" applyNumberFormat="1" applyFont="1" applyFill="1" applyBorder="1" applyAlignment="1">
      <alignment horizontal="right" wrapText="1"/>
    </xf>
    <xf numFmtId="0" fontId="4" fillId="0" borderId="3" xfId="1" applyFont="1" applyBorder="1" applyAlignment="1">
      <alignment wrapText="1"/>
    </xf>
    <xf numFmtId="0" fontId="4" fillId="0" borderId="9" xfId="1" applyFont="1" applyBorder="1" applyAlignment="1">
      <alignment wrapText="1"/>
    </xf>
    <xf numFmtId="0" fontId="4" fillId="0" borderId="2" xfId="2" applyNumberFormat="1" applyFont="1" applyFill="1" applyBorder="1" applyAlignment="1">
      <alignment horizontal="center" wrapText="1"/>
    </xf>
    <xf numFmtId="0" fontId="4" fillId="0" borderId="2" xfId="2" applyNumberFormat="1" applyFont="1" applyFill="1" applyBorder="1" applyAlignment="1">
      <alignment wrapText="1"/>
    </xf>
    <xf numFmtId="0" fontId="4" fillId="0" borderId="2" xfId="1" applyFont="1" applyBorder="1" applyAlignment="1">
      <alignment horizontal="right" wrapText="1"/>
    </xf>
    <xf numFmtId="165" fontId="4" fillId="0" borderId="2" xfId="2" applyNumberFormat="1" applyFont="1" applyFill="1" applyBorder="1" applyAlignment="1">
      <alignment horizontal="center" wrapText="1"/>
    </xf>
    <xf numFmtId="0" fontId="4" fillId="0" borderId="2" xfId="3" applyNumberFormat="1" applyFont="1" applyFill="1" applyBorder="1" applyAlignment="1">
      <alignment wrapText="1"/>
    </xf>
    <xf numFmtId="165" fontId="4" fillId="0" borderId="2" xfId="1" applyNumberFormat="1" applyFont="1" applyBorder="1" applyAlignment="1">
      <alignment horizontal="center" wrapText="1"/>
    </xf>
    <xf numFmtId="1" fontId="4" fillId="0" borderId="2" xfId="1" applyNumberFormat="1" applyFont="1" applyBorder="1" applyAlignment="1">
      <alignment wrapText="1"/>
    </xf>
    <xf numFmtId="0" fontId="4" fillId="0" borderId="2" xfId="2" applyNumberFormat="1" applyFont="1" applyFill="1" applyBorder="1" applyAlignment="1">
      <alignment horizontal="justify" wrapText="1"/>
    </xf>
    <xf numFmtId="0" fontId="4" fillId="0" borderId="2" xfId="3" applyNumberFormat="1" applyFont="1" applyFill="1" applyBorder="1" applyAlignment="1">
      <alignment horizontal="center" wrapText="1"/>
    </xf>
    <xf numFmtId="1" fontId="4" fillId="0" borderId="2" xfId="2" applyNumberFormat="1" applyFont="1" applyFill="1" applyBorder="1" applyAlignment="1">
      <alignment horizontal="center" wrapText="1"/>
    </xf>
    <xf numFmtId="165" fontId="4" fillId="0" borderId="2" xfId="2" applyNumberFormat="1" applyFont="1" applyFill="1" applyBorder="1" applyAlignment="1">
      <alignment wrapText="1"/>
    </xf>
    <xf numFmtId="165" fontId="4" fillId="0" borderId="0" xfId="2" applyNumberFormat="1" applyFont="1" applyFill="1" applyBorder="1"/>
    <xf numFmtId="165" fontId="4" fillId="0" borderId="0" xfId="2" applyNumberFormat="1" applyFont="1" applyFill="1"/>
    <xf numFmtId="0" fontId="4" fillId="0" borderId="2" xfId="2" applyNumberFormat="1" applyFont="1" applyFill="1" applyBorder="1" applyAlignment="1">
      <alignment horizontal="left" wrapText="1"/>
    </xf>
    <xf numFmtId="0" fontId="4" fillId="2" borderId="2" xfId="1" applyFont="1" applyFill="1" applyBorder="1" applyAlignment="1">
      <alignment horizontal="left" vertical="center" wrapText="1"/>
    </xf>
    <xf numFmtId="166" fontId="4" fillId="0" borderId="2" xfId="3" applyFont="1" applyFill="1" applyBorder="1" applyAlignment="1">
      <alignment horizontal="center" wrapText="1"/>
    </xf>
    <xf numFmtId="0" fontId="4" fillId="0" borderId="0" xfId="1" applyFont="1" applyAlignment="1">
      <alignment horizontal="center" wrapText="1"/>
    </xf>
    <xf numFmtId="0" fontId="3" fillId="0" borderId="0" xfId="1" applyFont="1" applyAlignment="1">
      <alignment vertical="center" wrapText="1"/>
    </xf>
    <xf numFmtId="0" fontId="3" fillId="0" borderId="2" xfId="1" applyFont="1" applyBorder="1" applyAlignment="1">
      <alignment vertical="center" wrapText="1"/>
    </xf>
    <xf numFmtId="0" fontId="3" fillId="0" borderId="0" xfId="1" applyFont="1" applyAlignment="1">
      <alignment horizontal="center" vertical="center" wrapText="1"/>
    </xf>
    <xf numFmtId="0" fontId="7" fillId="0" borderId="2" xfId="1" applyFont="1" applyBorder="1" applyAlignment="1">
      <alignment vertical="center" wrapText="1"/>
    </xf>
    <xf numFmtId="0" fontId="7" fillId="0" borderId="0" xfId="1" applyFont="1" applyAlignment="1">
      <alignment vertical="center" wrapText="1"/>
    </xf>
    <xf numFmtId="0" fontId="3" fillId="0" borderId="0" xfId="1" applyFont="1" applyAlignment="1">
      <alignment vertical="justify" wrapText="1"/>
    </xf>
    <xf numFmtId="0" fontId="4" fillId="0" borderId="2" xfId="1" applyFont="1" applyBorder="1" applyAlignment="1">
      <alignment horizontal="center" vertical="top" wrapText="1"/>
    </xf>
    <xf numFmtId="0" fontId="4" fillId="0" borderId="2" xfId="1" applyFont="1" applyBorder="1" applyAlignment="1">
      <alignment horizontal="left" vertical="top" wrapText="1"/>
    </xf>
    <xf numFmtId="0" fontId="4" fillId="0" borderId="2" xfId="2" applyNumberFormat="1" applyFont="1" applyFill="1" applyBorder="1" applyAlignment="1">
      <alignment horizontal="center" vertical="top" wrapText="1"/>
    </xf>
    <xf numFmtId="165" fontId="4" fillId="0" borderId="2" xfId="2" applyNumberFormat="1" applyFont="1" applyFill="1" applyBorder="1" applyAlignment="1">
      <alignment horizontal="right" vertical="top" wrapText="1"/>
    </xf>
    <xf numFmtId="0" fontId="4" fillId="0" borderId="2" xfId="2" applyNumberFormat="1" applyFont="1" applyFill="1" applyBorder="1" applyAlignment="1">
      <alignment vertical="top" wrapText="1"/>
    </xf>
    <xf numFmtId="0" fontId="4" fillId="0" borderId="2" xfId="1" applyFont="1" applyBorder="1" applyAlignment="1">
      <alignment horizontal="right" vertical="top" wrapText="1"/>
    </xf>
    <xf numFmtId="165" fontId="4" fillId="0" borderId="2" xfId="2" applyNumberFormat="1" applyFont="1" applyFill="1" applyBorder="1" applyAlignment="1">
      <alignment horizontal="center" vertical="top" wrapText="1"/>
    </xf>
    <xf numFmtId="166" fontId="4" fillId="0" borderId="2" xfId="3" applyFont="1" applyFill="1" applyBorder="1" applyAlignment="1">
      <alignment horizontal="right" vertical="top" wrapText="1"/>
    </xf>
    <xf numFmtId="0" fontId="4" fillId="0" borderId="2" xfId="3" applyNumberFormat="1" applyFont="1" applyFill="1" applyBorder="1" applyAlignment="1">
      <alignment vertical="top" wrapText="1"/>
    </xf>
    <xf numFmtId="165" fontId="4" fillId="0" borderId="2" xfId="1" applyNumberFormat="1" applyFont="1" applyBorder="1" applyAlignment="1">
      <alignment horizontal="center" vertical="top" wrapText="1"/>
    </xf>
    <xf numFmtId="0" fontId="4" fillId="0" borderId="2" xfId="1" applyFont="1" applyBorder="1" applyAlignment="1">
      <alignment vertical="top" wrapText="1"/>
    </xf>
    <xf numFmtId="1" fontId="4" fillId="0" borderId="2" xfId="1" applyNumberFormat="1" applyFont="1" applyBorder="1" applyAlignment="1">
      <alignment vertical="top" wrapText="1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1" fontId="4" fillId="0" borderId="0" xfId="1" applyNumberFormat="1" applyFont="1" applyAlignment="1">
      <alignment vertical="top"/>
    </xf>
    <xf numFmtId="0" fontId="4" fillId="0" borderId="3" xfId="1" applyFont="1" applyBorder="1" applyAlignment="1">
      <alignment horizontal="left" vertical="center" wrapText="1"/>
    </xf>
    <xf numFmtId="0" fontId="4" fillId="0" borderId="3" xfId="2" applyNumberFormat="1" applyFont="1" applyFill="1" applyBorder="1" applyAlignment="1">
      <alignment horizontal="center" wrapText="1"/>
    </xf>
    <xf numFmtId="0" fontId="4" fillId="0" borderId="3" xfId="1" applyFont="1" applyBorder="1" applyAlignment="1">
      <alignment horizontal="center" wrapText="1"/>
    </xf>
    <xf numFmtId="165" fontId="4" fillId="0" borderId="3" xfId="2" applyNumberFormat="1" applyFont="1" applyFill="1" applyBorder="1" applyAlignment="1">
      <alignment horizontal="right" wrapText="1"/>
    </xf>
    <xf numFmtId="166" fontId="4" fillId="0" borderId="3" xfId="3" applyFont="1" applyFill="1" applyBorder="1" applyAlignment="1">
      <alignment horizontal="right" wrapText="1"/>
    </xf>
    <xf numFmtId="166" fontId="4" fillId="0" borderId="3" xfId="3" applyFont="1" applyFill="1" applyBorder="1" applyAlignment="1">
      <alignment wrapText="1"/>
    </xf>
    <xf numFmtId="0" fontId="4" fillId="0" borderId="3" xfId="1" applyFont="1" applyBorder="1" applyAlignment="1">
      <alignment horizontal="left" wrapText="1"/>
    </xf>
    <xf numFmtId="0" fontId="4" fillId="0" borderId="2" xfId="1" applyFont="1" applyBorder="1"/>
    <xf numFmtId="0" fontId="4" fillId="2" borderId="2" xfId="1" applyFont="1" applyFill="1" applyBorder="1" applyAlignment="1">
      <alignment wrapText="1"/>
    </xf>
    <xf numFmtId="0" fontId="4" fillId="2" borderId="2" xfId="1" applyFont="1" applyFill="1" applyBorder="1" applyAlignment="1">
      <alignment horizontal="center" wrapText="1"/>
    </xf>
    <xf numFmtId="166" fontId="4" fillId="2" borderId="2" xfId="3" applyFont="1" applyFill="1" applyBorder="1" applyAlignment="1">
      <alignment horizontal="right" wrapText="1"/>
    </xf>
    <xf numFmtId="0" fontId="4" fillId="2" borderId="2" xfId="1" applyFont="1" applyFill="1" applyBorder="1" applyAlignment="1">
      <alignment horizontal="left" vertical="top" wrapText="1"/>
    </xf>
    <xf numFmtId="0" fontId="4" fillId="2" borderId="2" xfId="1" applyFont="1" applyFill="1" applyBorder="1" applyAlignment="1">
      <alignment horizontal="left" wrapText="1"/>
    </xf>
    <xf numFmtId="165" fontId="4" fillId="2" borderId="2" xfId="2" applyNumberFormat="1" applyFont="1" applyFill="1" applyBorder="1" applyAlignment="1">
      <alignment horizontal="right" wrapText="1"/>
    </xf>
    <xf numFmtId="166" fontId="4" fillId="2" borderId="2" xfId="3" applyFont="1" applyFill="1" applyBorder="1" applyAlignment="1">
      <alignment wrapText="1"/>
    </xf>
    <xf numFmtId="0" fontId="4" fillId="2" borderId="2" xfId="1" applyFont="1" applyFill="1" applyBorder="1" applyAlignment="1">
      <alignment horizontal="center"/>
    </xf>
    <xf numFmtId="0" fontId="4" fillId="2" borderId="5" xfId="1" applyFont="1" applyFill="1" applyBorder="1"/>
    <xf numFmtId="1" fontId="4" fillId="2" borderId="0" xfId="1" applyNumberFormat="1" applyFont="1" applyFill="1"/>
    <xf numFmtId="0" fontId="4" fillId="2" borderId="0" xfId="1" applyFont="1" applyFill="1"/>
    <xf numFmtId="0" fontId="4" fillId="2" borderId="2" xfId="1" applyFont="1" applyFill="1" applyBorder="1"/>
    <xf numFmtId="0" fontId="4" fillId="2" borderId="2" xfId="1" applyFont="1" applyFill="1" applyBorder="1" applyAlignment="1">
      <alignment vertical="top" wrapText="1"/>
    </xf>
    <xf numFmtId="0" fontId="4" fillId="2" borderId="2" xfId="1" applyFont="1" applyFill="1" applyBorder="1" applyAlignment="1">
      <alignment horizontal="center" vertical="top" wrapText="1"/>
    </xf>
    <xf numFmtId="166" fontId="4" fillId="0" borderId="2" xfId="3" applyFont="1" applyFill="1" applyBorder="1" applyAlignment="1">
      <alignment vertical="top" wrapText="1"/>
    </xf>
    <xf numFmtId="0" fontId="4" fillId="2" borderId="0" xfId="1" applyFont="1" applyFill="1" applyAlignment="1">
      <alignment vertical="top"/>
    </xf>
    <xf numFmtId="0" fontId="4" fillId="2" borderId="10" xfId="1" applyFont="1" applyFill="1" applyBorder="1" applyAlignment="1">
      <alignment vertical="top" wrapText="1"/>
    </xf>
    <xf numFmtId="3" fontId="4" fillId="0" borderId="2" xfId="1" applyNumberFormat="1" applyFont="1" applyBorder="1" applyAlignment="1">
      <alignment vertical="top" wrapText="1"/>
    </xf>
    <xf numFmtId="166" fontId="4" fillId="0" borderId="2" xfId="3" applyFont="1" applyBorder="1" applyAlignment="1">
      <alignment vertical="top" wrapText="1"/>
    </xf>
    <xf numFmtId="3" fontId="4" fillId="0" borderId="5" xfId="1" applyNumberFormat="1" applyFont="1" applyBorder="1" applyAlignment="1">
      <alignment vertical="top" wrapText="1"/>
    </xf>
    <xf numFmtId="0" fontId="4" fillId="2" borderId="0" xfId="1" applyFont="1" applyFill="1" applyAlignment="1">
      <alignment horizontal="center" vertical="top"/>
    </xf>
    <xf numFmtId="1" fontId="4" fillId="2" borderId="0" xfId="1" applyNumberFormat="1" applyFont="1" applyFill="1" applyAlignment="1">
      <alignment vertical="top"/>
    </xf>
    <xf numFmtId="166" fontId="4" fillId="2" borderId="2" xfId="3" applyFont="1" applyFill="1" applyBorder="1" applyAlignment="1">
      <alignment horizontal="right" vertical="top" wrapText="1"/>
    </xf>
    <xf numFmtId="0" fontId="4" fillId="0" borderId="0" xfId="1" applyFont="1" applyAlignment="1">
      <alignment vertical="top" wrapText="1"/>
    </xf>
    <xf numFmtId="0" fontId="4" fillId="0" borderId="2" xfId="1" applyFont="1" applyBorder="1" applyAlignment="1">
      <alignment horizontal="center" vertical="top"/>
    </xf>
    <xf numFmtId="0" fontId="4" fillId="0" borderId="2" xfId="1" quotePrefix="1" applyFont="1" applyBorder="1" applyAlignment="1">
      <alignment horizontal="left" vertical="top" wrapText="1"/>
    </xf>
    <xf numFmtId="0" fontId="4" fillId="0" borderId="0" xfId="1" applyFont="1" applyAlignment="1">
      <alignment vertical="center"/>
    </xf>
    <xf numFmtId="1" fontId="4" fillId="0" borderId="0" xfId="1" applyNumberFormat="1" applyFont="1" applyAlignment="1">
      <alignment vertical="center"/>
    </xf>
    <xf numFmtId="0" fontId="3" fillId="0" borderId="2" xfId="1" applyFont="1" applyBorder="1" applyAlignment="1">
      <alignment vertical="top" wrapText="1"/>
    </xf>
    <xf numFmtId="49" fontId="4" fillId="0" borderId="2" xfId="1" applyNumberFormat="1" applyFont="1" applyBorder="1" applyAlignment="1">
      <alignment horizontal="center" vertical="top" wrapText="1"/>
    </xf>
    <xf numFmtId="3" fontId="4" fillId="0" borderId="2" xfId="1" applyNumberFormat="1" applyFont="1" applyBorder="1" applyAlignment="1">
      <alignment horizontal="center" vertical="top" wrapText="1"/>
    </xf>
    <xf numFmtId="1" fontId="4" fillId="0" borderId="2" xfId="1" applyNumberFormat="1" applyFont="1" applyBorder="1" applyAlignment="1">
      <alignment horizontal="center" vertical="top" wrapText="1"/>
    </xf>
    <xf numFmtId="3" fontId="4" fillId="0" borderId="2" xfId="1" applyNumberFormat="1" applyFont="1" applyBorder="1" applyAlignment="1">
      <alignment horizontal="right" vertical="top" wrapText="1"/>
    </xf>
    <xf numFmtId="166" fontId="4" fillId="0" borderId="2" xfId="3" applyFont="1" applyFill="1" applyBorder="1" applyAlignment="1">
      <alignment horizontal="left" vertical="center" wrapText="1"/>
    </xf>
    <xf numFmtId="0" fontId="4" fillId="0" borderId="0" xfId="1" applyFont="1" applyAlignment="1">
      <alignment horizontal="right" vertical="center" wrapText="1"/>
    </xf>
    <xf numFmtId="166" fontId="4" fillId="0" borderId="2" xfId="3" applyFont="1" applyFill="1" applyBorder="1" applyAlignment="1">
      <alignment horizontal="center" vertical="center" wrapText="1"/>
    </xf>
    <xf numFmtId="0" fontId="8" fillId="0" borderId="0" xfId="1" applyFont="1"/>
    <xf numFmtId="1" fontId="4" fillId="0" borderId="2" xfId="1" applyNumberFormat="1" applyFont="1" applyBorder="1" applyAlignment="1">
      <alignment horizontal="left" vertical="center" wrapText="1"/>
    </xf>
    <xf numFmtId="0" fontId="2" fillId="0" borderId="0" xfId="1" applyAlignment="1">
      <alignment horizontal="center" vertical="center" wrapText="1"/>
    </xf>
    <xf numFmtId="0" fontId="9" fillId="0" borderId="0" xfId="1" applyFont="1" applyAlignment="1">
      <alignment horizontal="left" vertical="center" wrapText="1"/>
    </xf>
    <xf numFmtId="0" fontId="9" fillId="0" borderId="0" xfId="1" applyFont="1" applyAlignment="1">
      <alignment horizontal="center" vertical="center" wrapText="1"/>
    </xf>
    <xf numFmtId="166" fontId="4" fillId="0" borderId="2" xfId="3" applyFont="1" applyBorder="1" applyAlignment="1">
      <alignment horizontal="right" vertical="center" wrapText="1"/>
    </xf>
    <xf numFmtId="3" fontId="4" fillId="0" borderId="2" xfId="1" applyNumberFormat="1" applyFont="1" applyBorder="1" applyAlignment="1">
      <alignment horizontal="right" vertical="center"/>
    </xf>
    <xf numFmtId="0" fontId="9" fillId="0" borderId="0" xfId="1" applyFont="1"/>
    <xf numFmtId="0" fontId="2" fillId="0" borderId="0" xfId="1"/>
    <xf numFmtId="166" fontId="4" fillId="0" borderId="2" xfId="3" applyFont="1" applyBorder="1" applyAlignment="1">
      <alignment horizontal="right" vertical="center"/>
    </xf>
    <xf numFmtId="3" fontId="4" fillId="0" borderId="2" xfId="1" applyNumberFormat="1" applyFont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4" fillId="0" borderId="2" xfId="1" applyFont="1" applyBorder="1" applyAlignment="1">
      <alignment horizontal="left" vertical="center"/>
    </xf>
    <xf numFmtId="1" fontId="4" fillId="0" borderId="2" xfId="1" applyNumberFormat="1" applyFont="1" applyBorder="1" applyAlignment="1">
      <alignment horizontal="left" vertical="center"/>
    </xf>
    <xf numFmtId="165" fontId="4" fillId="0" borderId="2" xfId="2" applyNumberFormat="1" applyFont="1" applyFill="1" applyBorder="1" applyAlignment="1">
      <alignment horizontal="left" vertical="center"/>
    </xf>
    <xf numFmtId="166" fontId="4" fillId="0" borderId="2" xfId="3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" fontId="4" fillId="0" borderId="0" xfId="1" applyNumberFormat="1" applyFont="1" applyAlignment="1">
      <alignment horizontal="left" vertical="center"/>
    </xf>
    <xf numFmtId="3" fontId="4" fillId="0" borderId="2" xfId="1" applyNumberFormat="1" applyFont="1" applyBorder="1" applyAlignment="1">
      <alignment horizontal="left" vertical="center"/>
    </xf>
    <xf numFmtId="0" fontId="4" fillId="0" borderId="2" xfId="1" applyFont="1" applyBorder="1" applyAlignment="1">
      <alignment horizontal="left"/>
    </xf>
    <xf numFmtId="1" fontId="4" fillId="0" borderId="0" xfId="1" applyNumberFormat="1" applyFont="1" applyAlignment="1">
      <alignment horizontal="left"/>
    </xf>
    <xf numFmtId="0" fontId="5" fillId="0" borderId="0" xfId="1" applyFont="1"/>
    <xf numFmtId="0" fontId="5" fillId="0" borderId="0" xfId="1" applyFont="1" applyAlignment="1">
      <alignment vertical="center" wrapText="1"/>
    </xf>
    <xf numFmtId="0" fontId="4" fillId="0" borderId="0" xfId="1" applyFont="1" applyAlignment="1">
      <alignment wrapText="1"/>
    </xf>
    <xf numFmtId="1" fontId="4" fillId="0" borderId="0" xfId="1" applyNumberFormat="1" applyFont="1" applyAlignment="1">
      <alignment wrapText="1"/>
    </xf>
    <xf numFmtId="1" fontId="4" fillId="0" borderId="0" xfId="1" applyNumberFormat="1" applyFont="1" applyAlignment="1">
      <alignment horizontal="center" vertical="center" wrapText="1"/>
    </xf>
    <xf numFmtId="165" fontId="4" fillId="0" borderId="2" xfId="2" applyNumberFormat="1" applyFont="1" applyFill="1" applyBorder="1" applyAlignment="1">
      <alignment horizontal="center" vertical="center"/>
    </xf>
    <xf numFmtId="1" fontId="4" fillId="0" borderId="0" xfId="1" applyNumberFormat="1" applyFont="1" applyAlignment="1">
      <alignment horizontal="center" vertical="center"/>
    </xf>
    <xf numFmtId="167" fontId="4" fillId="0" borderId="2" xfId="1" applyNumberFormat="1" applyFont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left" vertical="center"/>
    </xf>
    <xf numFmtId="0" fontId="4" fillId="2" borderId="3" xfId="1" applyFont="1" applyFill="1" applyBorder="1" applyAlignment="1">
      <alignment horizontal="center" vertical="center" wrapText="1"/>
    </xf>
    <xf numFmtId="1" fontId="4" fillId="2" borderId="2" xfId="1" applyNumberFormat="1" applyFont="1" applyFill="1" applyBorder="1" applyAlignment="1">
      <alignment horizontal="center" vertical="center"/>
    </xf>
    <xf numFmtId="166" fontId="4" fillId="2" borderId="2" xfId="3" applyFont="1" applyFill="1" applyBorder="1" applyAlignment="1">
      <alignment horizontal="right" vertical="center"/>
    </xf>
    <xf numFmtId="3" fontId="4" fillId="2" borderId="2" xfId="1" applyNumberFormat="1" applyFont="1" applyFill="1" applyBorder="1" applyAlignment="1">
      <alignment horizontal="center" vertical="center"/>
    </xf>
    <xf numFmtId="166" fontId="4" fillId="2" borderId="2" xfId="3" applyFont="1" applyFill="1" applyBorder="1" applyAlignment="1">
      <alignment vertical="center"/>
    </xf>
    <xf numFmtId="0" fontId="4" fillId="2" borderId="2" xfId="1" applyFont="1" applyFill="1" applyBorder="1" applyAlignment="1">
      <alignment vertical="center"/>
    </xf>
    <xf numFmtId="3" fontId="4" fillId="2" borderId="11" xfId="1" applyNumberFormat="1" applyFont="1" applyFill="1" applyBorder="1" applyAlignment="1">
      <alignment horizontal="center" vertical="center"/>
    </xf>
    <xf numFmtId="174" fontId="4" fillId="2" borderId="2" xfId="5" applyNumberFormat="1" applyFont="1" applyFill="1" applyBorder="1" applyAlignment="1" applyProtection="1">
      <alignment vertical="center"/>
    </xf>
    <xf numFmtId="42" fontId="4" fillId="2" borderId="2" xfId="1" applyNumberFormat="1" applyFont="1" applyFill="1" applyBorder="1" applyAlignment="1">
      <alignment vertical="center"/>
    </xf>
    <xf numFmtId="0" fontId="4" fillId="2" borderId="2" xfId="1" applyFont="1" applyFill="1" applyBorder="1" applyAlignment="1">
      <alignment vertical="center" wrapText="1"/>
    </xf>
    <xf numFmtId="0" fontId="4" fillId="0" borderId="2" xfId="1" applyFont="1" applyBorder="1" applyAlignment="1">
      <alignment vertical="center"/>
    </xf>
    <xf numFmtId="174" fontId="4" fillId="2" borderId="2" xfId="1" applyNumberFormat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top"/>
    </xf>
    <xf numFmtId="0" fontId="4" fillId="2" borderId="3" xfId="1" applyFont="1" applyFill="1" applyBorder="1" applyAlignment="1">
      <alignment horizontal="center" vertical="top" wrapText="1"/>
    </xf>
    <xf numFmtId="1" fontId="4" fillId="2" borderId="2" xfId="1" applyNumberFormat="1" applyFont="1" applyFill="1" applyBorder="1" applyAlignment="1">
      <alignment horizontal="center" vertical="top"/>
    </xf>
    <xf numFmtId="166" fontId="4" fillId="2" borderId="2" xfId="3" applyFont="1" applyFill="1" applyBorder="1" applyAlignment="1">
      <alignment horizontal="right" vertical="top"/>
    </xf>
    <xf numFmtId="3" fontId="4" fillId="2" borderId="2" xfId="1" applyNumberFormat="1" applyFont="1" applyFill="1" applyBorder="1" applyAlignment="1">
      <alignment horizontal="center" vertical="top"/>
    </xf>
    <xf numFmtId="0" fontId="4" fillId="2" borderId="2" xfId="1" applyFont="1" applyFill="1" applyBorder="1" applyAlignment="1">
      <alignment vertical="top"/>
    </xf>
    <xf numFmtId="166" fontId="4" fillId="2" borderId="2" xfId="3" applyFont="1" applyFill="1" applyBorder="1" applyAlignment="1">
      <alignment vertical="top"/>
    </xf>
    <xf numFmtId="3" fontId="4" fillId="2" borderId="11" xfId="1" applyNumberFormat="1" applyFont="1" applyFill="1" applyBorder="1" applyAlignment="1">
      <alignment horizontal="center" vertical="top"/>
    </xf>
    <xf numFmtId="174" fontId="4" fillId="2" borderId="2" xfId="5" applyNumberFormat="1" applyFont="1" applyFill="1" applyBorder="1" applyAlignment="1" applyProtection="1">
      <alignment vertical="top"/>
    </xf>
    <xf numFmtId="42" fontId="4" fillId="2" borderId="2" xfId="1" applyNumberFormat="1" applyFont="1" applyFill="1" applyBorder="1" applyAlignment="1">
      <alignment vertical="top"/>
    </xf>
    <xf numFmtId="174" fontId="4" fillId="2" borderId="2" xfId="1" applyNumberFormat="1" applyFont="1" applyFill="1" applyBorder="1" applyAlignment="1">
      <alignment horizontal="center" vertical="top"/>
    </xf>
    <xf numFmtId="0" fontId="4" fillId="2" borderId="2" xfId="1" applyFont="1" applyFill="1" applyBorder="1" applyAlignment="1">
      <alignment horizontal="left" vertical="top"/>
    </xf>
    <xf numFmtId="0" fontId="4" fillId="2" borderId="2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left" vertical="center"/>
    </xf>
    <xf numFmtId="0" fontId="4" fillId="0" borderId="3" xfId="1" applyFont="1" applyBorder="1" applyAlignment="1">
      <alignment horizontal="center" vertical="center"/>
    </xf>
    <xf numFmtId="49" fontId="4" fillId="0" borderId="3" xfId="1" applyNumberFormat="1" applyFont="1" applyBorder="1" applyAlignment="1">
      <alignment horizontal="center" vertical="center"/>
    </xf>
    <xf numFmtId="3" fontId="4" fillId="0" borderId="3" xfId="1" applyNumberFormat="1" applyFont="1" applyBorder="1" applyAlignment="1">
      <alignment horizontal="center" vertical="center"/>
    </xf>
    <xf numFmtId="1" fontId="4" fillId="0" borderId="3" xfId="1" applyNumberFormat="1" applyFont="1" applyBorder="1" applyAlignment="1">
      <alignment horizontal="center" vertical="center"/>
    </xf>
    <xf numFmtId="166" fontId="4" fillId="0" borderId="3" xfId="3" applyFont="1" applyFill="1" applyBorder="1" applyAlignment="1">
      <alignment horizontal="center" vertical="center"/>
    </xf>
    <xf numFmtId="165" fontId="4" fillId="0" borderId="3" xfId="2" applyNumberFormat="1" applyFont="1" applyFill="1" applyBorder="1" applyAlignment="1">
      <alignment vertical="center"/>
    </xf>
    <xf numFmtId="1" fontId="4" fillId="0" borderId="3" xfId="1" applyNumberFormat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166" fontId="4" fillId="0" borderId="2" xfId="3" applyFont="1" applyFill="1" applyBorder="1" applyAlignment="1">
      <alignment vertical="center"/>
    </xf>
    <xf numFmtId="3" fontId="4" fillId="0" borderId="2" xfId="1" applyNumberFormat="1" applyFont="1" applyBorder="1" applyAlignment="1">
      <alignment vertical="center"/>
    </xf>
    <xf numFmtId="165" fontId="4" fillId="0" borderId="2" xfId="2" applyNumberFormat="1" applyFont="1" applyFill="1" applyBorder="1" applyAlignment="1">
      <alignment horizontal="right" vertical="center"/>
    </xf>
    <xf numFmtId="3" fontId="4" fillId="0" borderId="0" xfId="1" applyNumberFormat="1" applyFont="1" applyAlignment="1">
      <alignment vertical="center"/>
    </xf>
    <xf numFmtId="166" fontId="4" fillId="0" borderId="0" xfId="3" applyFont="1" applyAlignment="1">
      <alignment vertical="center"/>
    </xf>
    <xf numFmtId="0" fontId="4" fillId="0" borderId="2" xfId="1" quotePrefix="1" applyFont="1" applyBorder="1" applyAlignment="1">
      <alignment horizontal="center" vertical="center" wrapText="1"/>
    </xf>
    <xf numFmtId="0" fontId="4" fillId="0" borderId="5" xfId="1" applyFont="1" applyBorder="1" applyAlignment="1">
      <alignment vertical="center"/>
    </xf>
    <xf numFmtId="0" fontId="4" fillId="0" borderId="9" xfId="1" applyFont="1" applyBorder="1" applyAlignment="1">
      <alignment horizontal="center" vertical="center"/>
    </xf>
    <xf numFmtId="166" fontId="4" fillId="0" borderId="2" xfId="3" applyFont="1" applyBorder="1" applyAlignment="1">
      <alignment vertical="center"/>
    </xf>
    <xf numFmtId="165" fontId="4" fillId="0" borderId="2" xfId="1" applyNumberFormat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0" borderId="2" xfId="1" applyFont="1" applyBorder="1" applyAlignment="1">
      <alignment horizontal="right" vertical="center"/>
    </xf>
    <xf numFmtId="0" fontId="4" fillId="0" borderId="2" xfId="1" quotePrefix="1" applyFont="1" applyBorder="1" applyAlignment="1">
      <alignment horizontal="center" vertical="center"/>
    </xf>
    <xf numFmtId="166" fontId="4" fillId="0" borderId="0" xfId="3" applyFont="1" applyFill="1" applyAlignment="1">
      <alignment horizontal="center" vertical="center"/>
    </xf>
    <xf numFmtId="3" fontId="4" fillId="0" borderId="0" xfId="1" applyNumberFormat="1" applyFont="1" applyAlignment="1">
      <alignment horizontal="right" vertical="center"/>
    </xf>
    <xf numFmtId="3" fontId="4" fillId="2" borderId="2" xfId="1" applyNumberFormat="1" applyFont="1" applyFill="1" applyBorder="1" applyAlignment="1">
      <alignment horizontal="right" vertical="center"/>
    </xf>
    <xf numFmtId="0" fontId="4" fillId="2" borderId="2" xfId="1" applyFont="1" applyFill="1" applyBorder="1" applyAlignment="1">
      <alignment horizontal="right" vertical="center"/>
    </xf>
    <xf numFmtId="166" fontId="4" fillId="0" borderId="5" xfId="3" applyFont="1" applyFill="1" applyBorder="1" applyAlignment="1">
      <alignment horizontal="right" vertical="center"/>
    </xf>
    <xf numFmtId="165" fontId="4" fillId="0" borderId="9" xfId="2" applyNumberFormat="1" applyFont="1" applyFill="1" applyBorder="1" applyAlignment="1">
      <alignment horizontal="center" vertical="center"/>
    </xf>
    <xf numFmtId="166" fontId="4" fillId="0" borderId="9" xfId="3" applyFont="1" applyFill="1" applyBorder="1" applyAlignment="1">
      <alignment horizontal="right" vertical="center"/>
    </xf>
    <xf numFmtId="41" fontId="4" fillId="0" borderId="0" xfId="3" applyNumberFormat="1" applyFont="1" applyAlignment="1">
      <alignment vertical="center"/>
    </xf>
    <xf numFmtId="166" fontId="4" fillId="0" borderId="3" xfId="3" applyFont="1" applyBorder="1" applyAlignment="1">
      <alignment horizontal="right" vertical="center"/>
    </xf>
    <xf numFmtId="175" fontId="4" fillId="0" borderId="2" xfId="3" applyNumberFormat="1" applyFont="1" applyFill="1" applyBorder="1" applyAlignment="1">
      <alignment horizontal="right" vertical="center"/>
    </xf>
    <xf numFmtId="164" fontId="4" fillId="0" borderId="2" xfId="2" applyFont="1" applyFill="1" applyBorder="1" applyAlignment="1">
      <alignment horizontal="right" vertical="center"/>
    </xf>
    <xf numFmtId="3" fontId="4" fillId="3" borderId="2" xfId="1" applyNumberFormat="1" applyFont="1" applyFill="1" applyBorder="1" applyAlignment="1">
      <alignment horizontal="right" vertical="center" wrapText="1"/>
    </xf>
    <xf numFmtId="0" fontId="4" fillId="0" borderId="2" xfId="6" applyFont="1" applyBorder="1" applyAlignment="1">
      <alignment horizontal="center" vertical="center" wrapText="1"/>
    </xf>
    <xf numFmtId="0" fontId="4" fillId="0" borderId="2" xfId="6" applyFont="1" applyBorder="1" applyAlignment="1">
      <alignment horizontal="center" vertical="center"/>
    </xf>
    <xf numFmtId="3" fontId="12" fillId="0" borderId="2" xfId="1" applyNumberFormat="1" applyFont="1" applyBorder="1" applyAlignment="1">
      <alignment vertical="center"/>
    </xf>
    <xf numFmtId="0" fontId="12" fillId="0" borderId="2" xfId="1" applyFont="1" applyBorder="1" applyAlignment="1">
      <alignment vertical="center"/>
    </xf>
    <xf numFmtId="49" fontId="4" fillId="0" borderId="0" xfId="1" applyNumberFormat="1" applyFont="1" applyAlignment="1">
      <alignment horizontal="center"/>
    </xf>
    <xf numFmtId="0" fontId="4" fillId="0" borderId="12" xfId="1" applyFont="1" applyBorder="1" applyAlignment="1">
      <alignment horizontal="center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6" xfId="1" applyFont="1" applyBorder="1" applyAlignment="1">
      <alignment vertical="center"/>
    </xf>
    <xf numFmtId="166" fontId="3" fillId="0" borderId="3" xfId="3" applyFont="1" applyFill="1" applyBorder="1" applyAlignment="1">
      <alignment horizontal="center" vertical="center" wrapText="1"/>
    </xf>
    <xf numFmtId="166" fontId="3" fillId="0" borderId="6" xfId="3" applyFont="1" applyFill="1" applyBorder="1" applyAlignment="1">
      <alignment vertical="center" wrapText="1"/>
    </xf>
    <xf numFmtId="166" fontId="3" fillId="0" borderId="2" xfId="3" applyFont="1" applyFill="1" applyBorder="1" applyAlignment="1">
      <alignment horizontal="center" vertical="center" wrapText="1"/>
    </xf>
    <xf numFmtId="166" fontId="3" fillId="0" borderId="2" xfId="3" applyFont="1" applyFill="1" applyBorder="1" applyAlignment="1">
      <alignment horizontal="center" vertical="center"/>
    </xf>
    <xf numFmtId="165" fontId="3" fillId="0" borderId="3" xfId="2" applyNumberFormat="1" applyFont="1" applyFill="1" applyBorder="1" applyAlignment="1">
      <alignment horizontal="center" vertical="center" wrapText="1"/>
    </xf>
    <xf numFmtId="1" fontId="3" fillId="0" borderId="3" xfId="1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distributed"/>
    </xf>
    <xf numFmtId="0" fontId="4" fillId="0" borderId="1" xfId="1" applyFont="1" applyBorder="1" applyAlignment="1">
      <alignment horizontal="center" vertical="distributed"/>
    </xf>
    <xf numFmtId="0" fontId="4" fillId="0" borderId="5" xfId="1" applyFont="1" applyBorder="1" applyAlignment="1">
      <alignment horizontal="center" vertical="distributed"/>
    </xf>
    <xf numFmtId="0" fontId="3" fillId="0" borderId="2" xfId="1" applyFont="1" applyBorder="1" applyAlignment="1">
      <alignment horizontal="center" vertical="center"/>
    </xf>
    <xf numFmtId="165" fontId="3" fillId="0" borderId="2" xfId="2" applyNumberFormat="1" applyFont="1" applyFill="1" applyBorder="1" applyAlignment="1">
      <alignment horizontal="center" vertical="center"/>
    </xf>
    <xf numFmtId="167" fontId="3" fillId="0" borderId="2" xfId="2" applyNumberFormat="1" applyFont="1" applyFill="1" applyBorder="1" applyAlignment="1">
      <alignment horizontal="center" vertical="center"/>
    </xf>
    <xf numFmtId="0" fontId="3" fillId="0" borderId="7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</cellXfs>
  <cellStyles count="8">
    <cellStyle name="Comma [0] 3" xfId="3" xr:uid="{2DA1C595-9C48-498A-BF22-80131ED5217E}"/>
    <cellStyle name="Comma 2" xfId="2" xr:uid="{D71E65A8-121D-4296-9412-32F0BDD500F7}"/>
    <cellStyle name="Comma 2 2" xfId="5" xr:uid="{7E4971A4-9D05-489F-B317-D5D91BE13DD0}"/>
    <cellStyle name="Normal" xfId="0" builtinId="0"/>
    <cellStyle name="Normal 2 2 2" xfId="6" xr:uid="{8B2BDAED-59D0-4525-9557-5437AF8BCC90}"/>
    <cellStyle name="Normal 3" xfId="7" xr:uid="{E75C9A91-F591-49D7-8CDF-7DB9F27B9E2F}"/>
    <cellStyle name="Normal 4" xfId="1" xr:uid="{32BEEC49-9F58-4D3D-A8E6-64DF99258BAE}"/>
    <cellStyle name="Percent 3" xfId="4" xr:uid="{A3AC1AA9-51C8-43B6-B19F-5916F8B349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23</xdr:col>
      <xdr:colOff>67235</xdr:colOff>
      <xdr:row>1604</xdr:row>
      <xdr:rowOff>0</xdr:rowOff>
    </xdr:from>
    <xdr:ext cx="2362200" cy="1638300"/>
    <xdr:sp macro="" textlink="">
      <xdr:nvSpPr>
        <xdr:cNvPr id="5" name="Shape 9">
          <a:extLst>
            <a:ext uri="{FF2B5EF4-FFF2-40B4-BE49-F238E27FC236}">
              <a16:creationId xmlns:a16="http://schemas.microsoft.com/office/drawing/2014/main" id="{339121AC-71EC-4346-991C-D3A2DAA3ABA9}"/>
            </a:ext>
          </a:extLst>
        </xdr:cNvPr>
        <xdr:cNvSpPr txBox="1"/>
      </xdr:nvSpPr>
      <xdr:spPr>
        <a:xfrm>
          <a:off x="17523385" y="315893450"/>
          <a:ext cx="2362200" cy="1638300"/>
        </a:xfrm>
        <a:prstGeom prst="rect">
          <a:avLst/>
        </a:prstGeom>
        <a:solidFill>
          <a:schemeClr val="lt1"/>
        </a:solidFill>
        <a:ln w="9525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Arial" panose="020B0604020202020204" pitchFamily="34" charset="0"/>
              <a:ea typeface="Arial"/>
              <a:cs typeface="Arial" panose="020B0604020202020204" pitchFamily="34" charset="0"/>
              <a:sym typeface="Arial"/>
            </a:rPr>
            <a:t>Nganjuk, 6 Februari 2026</a:t>
          </a:r>
          <a:endParaRPr sz="1000">
            <a:latin typeface="Arial" panose="020B0604020202020204" pitchFamily="34" charset="0"/>
            <a:cs typeface="Arial" panose="020B0604020202020204" pitchFamily="34" charset="0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>
              <a:solidFill>
                <a:schemeClr val="dk1"/>
              </a:solidFill>
              <a:latin typeface="Arial" panose="020B0604020202020204" pitchFamily="34" charset="0"/>
              <a:ea typeface="Arial"/>
              <a:cs typeface="Arial" panose="020B0604020202020204" pitchFamily="34" charset="0"/>
              <a:sym typeface="Arial"/>
            </a:rPr>
            <a:t>Unit Data</a:t>
          </a:r>
          <a:endParaRPr sz="1000">
            <a:latin typeface="Arial" panose="020B0604020202020204" pitchFamily="34" charset="0"/>
            <a:cs typeface="Arial" panose="020B0604020202020204" pitchFamily="34" charset="0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000">
            <a:latin typeface="Arial" panose="020B0604020202020204" pitchFamily="34" charset="0"/>
            <a:ea typeface="Arial"/>
            <a:cs typeface="Arial" panose="020B0604020202020204" pitchFamily="34" charset="0"/>
            <a:sym typeface="Arial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lang="en-US" sz="1000">
            <a:latin typeface="Arial" panose="020B0604020202020204" pitchFamily="34" charset="0"/>
            <a:ea typeface="Arial"/>
            <a:cs typeface="Arial" panose="020B0604020202020204" pitchFamily="34" charset="0"/>
            <a:sym typeface="Arial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lang="en-US" sz="1000">
            <a:latin typeface="Arial" panose="020B0604020202020204" pitchFamily="34" charset="0"/>
            <a:ea typeface="Arial"/>
            <a:cs typeface="Arial" panose="020B0604020202020204" pitchFamily="34" charset="0"/>
            <a:sym typeface="Arial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000">
            <a:latin typeface="Arial" panose="020B0604020202020204" pitchFamily="34" charset="0"/>
            <a:ea typeface="Arial"/>
            <a:cs typeface="Arial" panose="020B0604020202020204" pitchFamily="34" charset="0"/>
            <a:sym typeface="Arial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ID" sz="1000">
              <a:latin typeface="Arial" panose="020B0604020202020204" pitchFamily="34" charset="0"/>
              <a:ea typeface="Arial"/>
              <a:cs typeface="Arial" panose="020B0604020202020204" pitchFamily="34" charset="0"/>
              <a:sym typeface="Arial"/>
            </a:rPr>
            <a:t>ARIK DYAH RUMSARI , SE</a:t>
          </a: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ID" sz="1000">
              <a:latin typeface="Arial" panose="020B0604020202020204" pitchFamily="34" charset="0"/>
              <a:ea typeface="Arial"/>
              <a:cs typeface="Arial" panose="020B0604020202020204" pitchFamily="34" charset="0"/>
              <a:sym typeface="Arial"/>
            </a:rPr>
            <a:t>NIP. 197312071995032002</a:t>
          </a:r>
          <a:endParaRPr sz="1000">
            <a:latin typeface="Arial" panose="020B0604020202020204" pitchFamily="34" charset="0"/>
            <a:ea typeface="Arial"/>
            <a:cs typeface="Arial" panose="020B0604020202020204" pitchFamily="34" charset="0"/>
            <a:sym typeface="Arial"/>
          </a:endParaRPr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85F78-C6A8-4D1E-866F-6FC7DA2C5F68}">
  <dimension ref="A1:CF1610"/>
  <sheetViews>
    <sheetView tabSelected="1" zoomScale="85" zoomScaleNormal="85" zoomScaleSheetLayoutView="100" workbookViewId="0">
      <pane xSplit="7" ySplit="2" topLeftCell="H1594" activePane="bottomRight" state="frozen"/>
      <selection pane="topRight" activeCell="C1" sqref="C1"/>
      <selection pane="bottomLeft" activeCell="A9" sqref="A9"/>
      <selection pane="bottomRight" activeCell="A1611" sqref="A1611:XFD1646"/>
    </sheetView>
  </sheetViews>
  <sheetFormatPr defaultColWidth="9.1796875" defaultRowHeight="10" x14ac:dyDescent="0.2"/>
  <cols>
    <col min="1" max="3" width="9.1796875" style="1"/>
    <col min="4" max="4" width="8.453125" style="277" customWidth="1"/>
    <col min="5" max="5" width="16.81640625" style="277" customWidth="1"/>
    <col min="6" max="6" width="17.1796875" style="277" customWidth="1"/>
    <col min="7" max="7" width="24.453125" style="1" customWidth="1"/>
    <col min="8" max="8" width="14.26953125" style="3" customWidth="1"/>
    <col min="9" max="9" width="6" style="3" customWidth="1"/>
    <col min="10" max="11" width="5.81640625" style="3" customWidth="1"/>
    <col min="12" max="12" width="19.453125" style="5" customWidth="1"/>
    <col min="13" max="13" width="16.453125" style="4" customWidth="1"/>
    <col min="14" max="14" width="13" style="5" customWidth="1"/>
    <col min="15" max="15" width="8" style="3" customWidth="1"/>
    <col min="16" max="16" width="16.453125" style="7" customWidth="1"/>
    <col min="17" max="17" width="15.81640625" style="4" customWidth="1"/>
    <col min="18" max="18" width="11.54296875" style="6" customWidth="1"/>
    <col min="19" max="19" width="6.54296875" style="3" customWidth="1"/>
    <col min="20" max="20" width="19.7265625" style="7" customWidth="1"/>
    <col min="21" max="21" width="5.54296875" style="3" customWidth="1"/>
    <col min="22" max="22" width="6.1796875" style="3" customWidth="1"/>
    <col min="23" max="23" width="6.81640625" style="3" customWidth="1"/>
    <col min="24" max="24" width="9.54296875" style="3" customWidth="1"/>
    <col min="25" max="25" width="6.81640625" style="3" customWidth="1"/>
    <col min="26" max="26" width="4.81640625" style="3" customWidth="1"/>
    <col min="27" max="27" width="3.54296875" style="3" customWidth="1"/>
    <col min="28" max="28" width="11.81640625" style="3" customWidth="1"/>
    <col min="29" max="29" width="20.54296875" style="278" bestFit="1" customWidth="1"/>
    <col min="30" max="30" width="14.1796875" style="3" hidden="1" customWidth="1"/>
    <col min="31" max="31" width="0" style="1" hidden="1" customWidth="1"/>
    <col min="32" max="32" width="11.54296875" style="2" customWidth="1"/>
    <col min="33" max="33" width="9.1796875" style="1"/>
    <col min="34" max="34" width="10" style="1" bestFit="1" customWidth="1"/>
    <col min="35" max="16384" width="9.1796875" style="1"/>
  </cols>
  <sheetData>
    <row r="1" spans="1:84" s="2" customFormat="1" ht="24" customHeight="1" x14ac:dyDescent="0.2">
      <c r="A1" s="294"/>
      <c r="B1" s="295"/>
      <c r="C1" s="295"/>
      <c r="D1" s="295"/>
      <c r="E1" s="295"/>
      <c r="F1" s="295"/>
      <c r="G1" s="295"/>
      <c r="H1" s="296"/>
      <c r="I1" s="294" t="s">
        <v>3</v>
      </c>
      <c r="J1" s="295"/>
      <c r="K1" s="296"/>
      <c r="L1" s="283"/>
      <c r="M1" s="291" t="s">
        <v>5</v>
      </c>
      <c r="N1" s="291"/>
      <c r="O1" s="291"/>
      <c r="P1" s="292"/>
      <c r="Q1" s="291" t="s">
        <v>6</v>
      </c>
      <c r="R1" s="292"/>
      <c r="S1" s="291"/>
      <c r="T1" s="291"/>
      <c r="U1" s="291"/>
      <c r="V1" s="293" t="s">
        <v>7</v>
      </c>
      <c r="W1" s="293"/>
      <c r="X1" s="293"/>
      <c r="Y1" s="291" t="s">
        <v>8</v>
      </c>
      <c r="Z1" s="291"/>
      <c r="AA1" s="291"/>
      <c r="AB1" s="291"/>
      <c r="AC1" s="281"/>
      <c r="AD1" s="288"/>
      <c r="AE1" s="290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</row>
    <row r="2" spans="1:84" s="2" customFormat="1" ht="21" x14ac:dyDescent="0.2">
      <c r="A2" s="279" t="s">
        <v>3918</v>
      </c>
      <c r="B2" s="279" t="s">
        <v>3919</v>
      </c>
      <c r="C2" s="279" t="s">
        <v>3920</v>
      </c>
      <c r="D2" s="279" t="s">
        <v>0</v>
      </c>
      <c r="E2" s="279" t="s">
        <v>10</v>
      </c>
      <c r="F2" s="280" t="s">
        <v>3922</v>
      </c>
      <c r="G2" s="9" t="s">
        <v>1</v>
      </c>
      <c r="H2" s="9" t="s">
        <v>2</v>
      </c>
      <c r="I2" s="9" t="s">
        <v>26</v>
      </c>
      <c r="J2" s="9" t="s">
        <v>27</v>
      </c>
      <c r="K2" s="8" t="s">
        <v>3923</v>
      </c>
      <c r="L2" s="282" t="s">
        <v>4</v>
      </c>
      <c r="M2" s="8" t="s">
        <v>11</v>
      </c>
      <c r="N2" s="284" t="s">
        <v>12</v>
      </c>
      <c r="O2" s="9" t="s">
        <v>13</v>
      </c>
      <c r="P2" s="285" t="s">
        <v>14</v>
      </c>
      <c r="Q2" s="9" t="s">
        <v>15</v>
      </c>
      <c r="R2" s="286" t="s">
        <v>16</v>
      </c>
      <c r="S2" s="9" t="s">
        <v>13</v>
      </c>
      <c r="T2" s="285" t="s">
        <v>17</v>
      </c>
      <c r="U2" s="287" t="s">
        <v>18</v>
      </c>
      <c r="V2" s="9" t="s">
        <v>19</v>
      </c>
      <c r="W2" s="9" t="s">
        <v>20</v>
      </c>
      <c r="X2" s="9" t="s">
        <v>21</v>
      </c>
      <c r="Y2" s="83" t="s">
        <v>22</v>
      </c>
      <c r="Z2" s="83" t="s">
        <v>23</v>
      </c>
      <c r="AA2" s="83" t="s">
        <v>24</v>
      </c>
      <c r="AB2" s="8" t="s">
        <v>25</v>
      </c>
      <c r="AC2" s="280" t="s">
        <v>9</v>
      </c>
      <c r="AD2" s="289"/>
      <c r="AE2" s="290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</row>
    <row r="3" spans="1:84" s="2" customFormat="1" x14ac:dyDescent="0.2">
      <c r="A3" s="17" t="s">
        <v>3921</v>
      </c>
      <c r="B3" s="17" t="s">
        <v>45</v>
      </c>
      <c r="C3" s="17">
        <v>2025</v>
      </c>
      <c r="D3" s="17" t="str">
        <f t="array" ref="D3">_xlfn.SWITCH(E3,"Bagor","35.18.14","Sukomoro",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3" s="16" t="s">
        <v>29</v>
      </c>
      <c r="F3" s="17" t="s">
        <v>28</v>
      </c>
      <c r="G3" s="17" t="s">
        <v>30</v>
      </c>
      <c r="H3" s="16" t="s">
        <v>31</v>
      </c>
      <c r="I3" s="16">
        <v>2</v>
      </c>
      <c r="J3" s="16">
        <v>15</v>
      </c>
      <c r="K3" s="16">
        <f t="shared" ref="K3:K66" si="0">J3+I3</f>
        <v>17</v>
      </c>
      <c r="L3" s="18">
        <v>1122000000</v>
      </c>
      <c r="M3" s="17" t="s">
        <v>32</v>
      </c>
      <c r="N3" s="18">
        <v>120000000</v>
      </c>
      <c r="O3" s="16" t="s">
        <v>33</v>
      </c>
      <c r="P3" s="18">
        <f>44880000000</f>
        <v>44880000000</v>
      </c>
      <c r="Q3" s="19" t="s">
        <v>34</v>
      </c>
      <c r="R3" s="18">
        <v>12000</v>
      </c>
      <c r="S3" s="20" t="s">
        <v>35</v>
      </c>
      <c r="T3" s="18">
        <v>12355600000</v>
      </c>
      <c r="U3" s="20" t="s">
        <v>22</v>
      </c>
      <c r="V3" s="20">
        <v>0</v>
      </c>
      <c r="W3" s="20">
        <v>0</v>
      </c>
      <c r="X3" s="20">
        <v>0</v>
      </c>
      <c r="Y3" s="20">
        <v>40</v>
      </c>
      <c r="Z3" s="20">
        <v>30</v>
      </c>
      <c r="AA3" s="20">
        <v>30</v>
      </c>
      <c r="AB3" s="21">
        <v>0</v>
      </c>
      <c r="AC3" s="21" t="s">
        <v>36</v>
      </c>
      <c r="AD3" s="22">
        <v>39105</v>
      </c>
      <c r="AE3" s="23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</row>
    <row r="4" spans="1:84" s="2" customFormat="1" x14ac:dyDescent="0.2">
      <c r="A4" s="17" t="s">
        <v>3921</v>
      </c>
      <c r="B4" s="17" t="s">
        <v>45</v>
      </c>
      <c r="C4" s="17">
        <v>2025</v>
      </c>
      <c r="D4" s="17" t="str">
        <f t="array" ref="D4">_xlfn.SWITCH(E4,"Bagor","35.18.14","Sukomoro",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" s="16" t="s">
        <v>29</v>
      </c>
      <c r="F4" s="17" t="s">
        <v>37</v>
      </c>
      <c r="G4" s="17" t="s">
        <v>38</v>
      </c>
      <c r="H4" s="16" t="s">
        <v>31</v>
      </c>
      <c r="I4" s="16">
        <v>15</v>
      </c>
      <c r="J4" s="16">
        <v>202</v>
      </c>
      <c r="K4" s="16">
        <f t="shared" si="0"/>
        <v>217</v>
      </c>
      <c r="L4" s="18">
        <v>150000000</v>
      </c>
      <c r="M4" s="17" t="s">
        <v>32</v>
      </c>
      <c r="N4" s="18">
        <v>250000000</v>
      </c>
      <c r="O4" s="16" t="s">
        <v>33</v>
      </c>
      <c r="P4" s="18">
        <v>75000000000</v>
      </c>
      <c r="Q4" s="19" t="s">
        <v>34</v>
      </c>
      <c r="R4" s="18">
        <v>25000</v>
      </c>
      <c r="S4" s="20" t="s">
        <v>35</v>
      </c>
      <c r="T4" s="18">
        <v>21004250000</v>
      </c>
      <c r="U4" s="20" t="s">
        <v>22</v>
      </c>
      <c r="V4" s="20">
        <v>0</v>
      </c>
      <c r="W4" s="20">
        <v>0</v>
      </c>
      <c r="X4" s="20">
        <v>0</v>
      </c>
      <c r="Y4" s="20">
        <v>40</v>
      </c>
      <c r="Z4" s="20">
        <v>30</v>
      </c>
      <c r="AA4" s="20">
        <v>30</v>
      </c>
      <c r="AB4" s="21">
        <v>0</v>
      </c>
      <c r="AC4" s="21" t="s">
        <v>39</v>
      </c>
      <c r="AD4" s="22">
        <v>39218</v>
      </c>
      <c r="AE4" s="23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</row>
    <row r="5" spans="1:84" s="2" customFormat="1" x14ac:dyDescent="0.2">
      <c r="A5" s="17" t="s">
        <v>3921</v>
      </c>
      <c r="B5" s="17" t="s">
        <v>45</v>
      </c>
      <c r="C5" s="17">
        <v>2025</v>
      </c>
      <c r="D5" s="17" t="str">
        <f t="array" ref="D5">_xlfn.SWITCH(E5,"Jatikalen","35.18.20","Kertosono", "35.18.08","Lengkong","35.18.19","Loceret","35.18.04","Tanjunganom","35.18.11","Wilangan","35.18.15")</f>
        <v>35.18.04</v>
      </c>
      <c r="E5" s="16" t="s">
        <v>41</v>
      </c>
      <c r="F5" s="17" t="s">
        <v>40</v>
      </c>
      <c r="G5" s="17" t="s">
        <v>42</v>
      </c>
      <c r="H5" s="16" t="s">
        <v>31</v>
      </c>
      <c r="I5" s="16">
        <v>5</v>
      </c>
      <c r="J5" s="16">
        <v>12</v>
      </c>
      <c r="K5" s="16">
        <f t="shared" si="0"/>
        <v>17</v>
      </c>
      <c r="L5" s="18">
        <v>75000000</v>
      </c>
      <c r="M5" s="17" t="s">
        <v>32</v>
      </c>
      <c r="N5" s="18">
        <v>850000</v>
      </c>
      <c r="O5" s="16" t="s">
        <v>33</v>
      </c>
      <c r="P5" s="18">
        <v>317900000</v>
      </c>
      <c r="Q5" s="19" t="s">
        <v>34</v>
      </c>
      <c r="R5" s="18">
        <v>90</v>
      </c>
      <c r="S5" s="20" t="s">
        <v>35</v>
      </c>
      <c r="T5" s="18">
        <v>73613000</v>
      </c>
      <c r="U5" s="20" t="s">
        <v>22</v>
      </c>
      <c r="V5" s="20">
        <v>0</v>
      </c>
      <c r="W5" s="20">
        <v>0</v>
      </c>
      <c r="X5" s="20">
        <v>0</v>
      </c>
      <c r="Y5" s="20">
        <v>60</v>
      </c>
      <c r="Z5" s="20">
        <v>40</v>
      </c>
      <c r="AA5" s="20">
        <v>0</v>
      </c>
      <c r="AB5" s="21">
        <v>0</v>
      </c>
      <c r="AC5" s="21" t="s">
        <v>43</v>
      </c>
      <c r="AD5" s="22">
        <v>39232</v>
      </c>
      <c r="AE5" s="23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</row>
    <row r="6" spans="1:84" s="2" customFormat="1" x14ac:dyDescent="0.2">
      <c r="A6" s="17" t="s">
        <v>3921</v>
      </c>
      <c r="B6" s="17" t="s">
        <v>45</v>
      </c>
      <c r="C6" s="17">
        <v>2025</v>
      </c>
      <c r="D6" s="17" t="str">
        <f t="array" ref="D6">_xlfn.SWITCH(E6,"Bagor","35.18.14","Sukomoro",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6" s="16" t="s">
        <v>45</v>
      </c>
      <c r="F6" s="17" t="s">
        <v>44</v>
      </c>
      <c r="G6" s="17" t="s">
        <v>46</v>
      </c>
      <c r="H6" s="16" t="s">
        <v>47</v>
      </c>
      <c r="I6" s="16">
        <v>4</v>
      </c>
      <c r="J6" s="16">
        <v>11</v>
      </c>
      <c r="K6" s="16">
        <f t="shared" si="0"/>
        <v>15</v>
      </c>
      <c r="L6" s="18">
        <v>180000000</v>
      </c>
      <c r="M6" s="17" t="s">
        <v>48</v>
      </c>
      <c r="N6" s="18">
        <v>180</v>
      </c>
      <c r="O6" s="16" t="s">
        <v>49</v>
      </c>
      <c r="P6" s="18">
        <v>240000000</v>
      </c>
      <c r="Q6" s="19" t="s">
        <v>50</v>
      </c>
      <c r="R6" s="18">
        <v>42</v>
      </c>
      <c r="S6" s="20" t="s">
        <v>51</v>
      </c>
      <c r="T6" s="18">
        <v>110000000</v>
      </c>
      <c r="U6" s="20" t="s">
        <v>22</v>
      </c>
      <c r="V6" s="20" t="s">
        <v>52</v>
      </c>
      <c r="W6" s="20">
        <v>280</v>
      </c>
      <c r="X6" s="20" t="s">
        <v>53</v>
      </c>
      <c r="Y6" s="20">
        <v>60</v>
      </c>
      <c r="Z6" s="20">
        <v>40</v>
      </c>
      <c r="AA6" s="20">
        <v>0</v>
      </c>
      <c r="AB6" s="21">
        <v>0</v>
      </c>
      <c r="AC6" s="21"/>
      <c r="AD6" s="24">
        <v>2007</v>
      </c>
      <c r="AE6" s="23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</row>
    <row r="7" spans="1:84" s="2" customFormat="1" x14ac:dyDescent="0.2">
      <c r="A7" s="17" t="s">
        <v>3921</v>
      </c>
      <c r="B7" s="17" t="s">
        <v>45</v>
      </c>
      <c r="C7" s="17">
        <v>2025</v>
      </c>
      <c r="D7" s="17" t="str">
        <f t="array" ref="D7">_xlfn.SWITCH(E7,"Bagor","35.18.14","Sukomoro",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7" s="16" t="s">
        <v>55</v>
      </c>
      <c r="F7" s="17" t="s">
        <v>54</v>
      </c>
      <c r="G7" s="17" t="s">
        <v>56</v>
      </c>
      <c r="H7" s="16" t="s">
        <v>47</v>
      </c>
      <c r="I7" s="16">
        <v>0</v>
      </c>
      <c r="J7" s="16">
        <v>6</v>
      </c>
      <c r="K7" s="16">
        <f t="shared" si="0"/>
        <v>6</v>
      </c>
      <c r="L7" s="18">
        <v>175000000</v>
      </c>
      <c r="M7" s="17" t="s">
        <v>48</v>
      </c>
      <c r="N7" s="18">
        <v>240</v>
      </c>
      <c r="O7" s="16" t="s">
        <v>49</v>
      </c>
      <c r="P7" s="18">
        <v>350000000</v>
      </c>
      <c r="Q7" s="19" t="s">
        <v>57</v>
      </c>
      <c r="R7" s="18">
        <v>48</v>
      </c>
      <c r="S7" s="20" t="s">
        <v>51</v>
      </c>
      <c r="T7" s="18">
        <v>135000000</v>
      </c>
      <c r="U7" s="20" t="s">
        <v>22</v>
      </c>
      <c r="V7" s="20" t="s">
        <v>52</v>
      </c>
      <c r="W7" s="20">
        <v>300</v>
      </c>
      <c r="X7" s="20" t="s">
        <v>53</v>
      </c>
      <c r="Y7" s="20">
        <v>55</v>
      </c>
      <c r="Z7" s="20">
        <v>45</v>
      </c>
      <c r="AA7" s="20">
        <v>0</v>
      </c>
      <c r="AB7" s="21">
        <v>0</v>
      </c>
      <c r="AC7" s="21" t="s">
        <v>58</v>
      </c>
      <c r="AD7" s="22">
        <v>39149</v>
      </c>
      <c r="AE7" s="23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</row>
    <row r="8" spans="1:84" s="2" customFormat="1" x14ac:dyDescent="0.2">
      <c r="A8" s="17" t="s">
        <v>3921</v>
      </c>
      <c r="B8" s="17" t="s">
        <v>45</v>
      </c>
      <c r="C8" s="17">
        <v>2025</v>
      </c>
      <c r="D8" s="17" t="str">
        <f t="array" ref="D8">_xlfn.SWITCH(E8,"Jatikalen","35.18.20","Kertosono", "35.18.08","Lengkong","35.18.19","Loceret","35.18.04","Tanjunganom","35.18.11","Wilangan","35.18.15")</f>
        <v>35.18.11</v>
      </c>
      <c r="E8" s="16" t="s">
        <v>60</v>
      </c>
      <c r="F8" s="17" t="s">
        <v>59</v>
      </c>
      <c r="G8" s="17" t="s">
        <v>61</v>
      </c>
      <c r="H8" s="16" t="s">
        <v>47</v>
      </c>
      <c r="I8" s="16">
        <v>0</v>
      </c>
      <c r="J8" s="16">
        <v>5</v>
      </c>
      <c r="K8" s="16">
        <f t="shared" si="0"/>
        <v>5</v>
      </c>
      <c r="L8" s="18">
        <v>50000000</v>
      </c>
      <c r="M8" s="17" t="s">
        <v>48</v>
      </c>
      <c r="N8" s="18">
        <v>180</v>
      </c>
      <c r="O8" s="16" t="s">
        <v>49</v>
      </c>
      <c r="P8" s="18">
        <v>225000000</v>
      </c>
      <c r="Q8" s="19" t="s">
        <v>57</v>
      </c>
      <c r="R8" s="18">
        <v>41</v>
      </c>
      <c r="S8" s="20" t="s">
        <v>51</v>
      </c>
      <c r="T8" s="18">
        <v>108000000</v>
      </c>
      <c r="U8" s="20" t="s">
        <v>22</v>
      </c>
      <c r="V8" s="20" t="s">
        <v>52</v>
      </c>
      <c r="W8" s="20">
        <v>275</v>
      </c>
      <c r="X8" s="20" t="s">
        <v>53</v>
      </c>
      <c r="Y8" s="20">
        <v>60</v>
      </c>
      <c r="Z8" s="20">
        <v>40</v>
      </c>
      <c r="AA8" s="20">
        <v>0</v>
      </c>
      <c r="AB8" s="21">
        <v>0</v>
      </c>
      <c r="AC8" s="21" t="s">
        <v>62</v>
      </c>
      <c r="AD8" s="22">
        <v>39188</v>
      </c>
      <c r="AE8" s="23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</row>
    <row r="9" spans="1:84" s="2" customFormat="1" x14ac:dyDescent="0.2">
      <c r="A9" s="17" t="s">
        <v>3921</v>
      </c>
      <c r="B9" s="17" t="s">
        <v>45</v>
      </c>
      <c r="C9" s="17">
        <v>2025</v>
      </c>
      <c r="D9" s="17" t="str">
        <f t="array" ref="D9">_xlfn.SWITCH(E9,"Jatikalen","35.18.20","Kertosono", "35.18.08","Lengkong","35.18.19","Loceret","35.18.04","Tanjunganom","35.18.11","Wilangan","35.18.15")</f>
        <v>35.18.19</v>
      </c>
      <c r="E9" s="16" t="s">
        <v>64</v>
      </c>
      <c r="F9" s="17" t="s">
        <v>63</v>
      </c>
      <c r="G9" s="17" t="s">
        <v>65</v>
      </c>
      <c r="H9" s="16" t="s">
        <v>47</v>
      </c>
      <c r="I9" s="16">
        <v>0</v>
      </c>
      <c r="J9" s="16">
        <v>4</v>
      </c>
      <c r="K9" s="16">
        <f t="shared" si="0"/>
        <v>4</v>
      </c>
      <c r="L9" s="18">
        <v>30000000</v>
      </c>
      <c r="M9" s="17" t="s">
        <v>48</v>
      </c>
      <c r="N9" s="18">
        <v>105</v>
      </c>
      <c r="O9" s="16" t="s">
        <v>49</v>
      </c>
      <c r="P9" s="18">
        <v>135250000</v>
      </c>
      <c r="Q9" s="19" t="s">
        <v>57</v>
      </c>
      <c r="R9" s="18">
        <v>24</v>
      </c>
      <c r="S9" s="20" t="s">
        <v>51</v>
      </c>
      <c r="T9" s="18">
        <v>63000000</v>
      </c>
      <c r="U9" s="20" t="s">
        <v>22</v>
      </c>
      <c r="V9" s="20" t="s">
        <v>52</v>
      </c>
      <c r="W9" s="20">
        <v>150</v>
      </c>
      <c r="X9" s="20" t="s">
        <v>53</v>
      </c>
      <c r="Y9" s="20">
        <v>65</v>
      </c>
      <c r="Z9" s="20">
        <v>35</v>
      </c>
      <c r="AA9" s="20">
        <v>0</v>
      </c>
      <c r="AB9" s="21">
        <v>0</v>
      </c>
      <c r="AC9" s="21" t="s">
        <v>66</v>
      </c>
      <c r="AD9" s="22">
        <v>39218</v>
      </c>
      <c r="AE9" s="23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</row>
    <row r="10" spans="1:84" s="2" customFormat="1" x14ac:dyDescent="0.2">
      <c r="A10" s="17" t="s">
        <v>3921</v>
      </c>
      <c r="B10" s="17" t="s">
        <v>45</v>
      </c>
      <c r="C10" s="17">
        <v>2025</v>
      </c>
      <c r="D10" s="17" t="str">
        <f t="array" ref="D10">_xlfn.SWITCH(E10,"Bagor","35.18.14","Sukomoro",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0" s="16" t="s">
        <v>29</v>
      </c>
      <c r="F10" s="17" t="s">
        <v>67</v>
      </c>
      <c r="G10" s="17" t="s">
        <v>68</v>
      </c>
      <c r="H10" s="16" t="s">
        <v>47</v>
      </c>
      <c r="I10" s="16">
        <v>0</v>
      </c>
      <c r="J10" s="16">
        <v>5</v>
      </c>
      <c r="K10" s="16">
        <f t="shared" si="0"/>
        <v>5</v>
      </c>
      <c r="L10" s="18">
        <v>30000000</v>
      </c>
      <c r="M10" s="17" t="s">
        <v>48</v>
      </c>
      <c r="N10" s="18">
        <v>10</v>
      </c>
      <c r="O10" s="16" t="s">
        <v>69</v>
      </c>
      <c r="P10" s="18">
        <v>61000000</v>
      </c>
      <c r="Q10" s="19" t="s">
        <v>57</v>
      </c>
      <c r="R10" s="18">
        <v>15</v>
      </c>
      <c r="S10" s="20" t="s">
        <v>51</v>
      </c>
      <c r="T10" s="18">
        <v>32950000</v>
      </c>
      <c r="U10" s="20" t="s">
        <v>22</v>
      </c>
      <c r="V10" s="20" t="s">
        <v>52</v>
      </c>
      <c r="W10" s="20">
        <v>50</v>
      </c>
      <c r="X10" s="20" t="s">
        <v>53</v>
      </c>
      <c r="Y10" s="20">
        <v>60</v>
      </c>
      <c r="Z10" s="20">
        <v>40</v>
      </c>
      <c r="AA10" s="20">
        <v>0</v>
      </c>
      <c r="AB10" s="21">
        <v>0</v>
      </c>
      <c r="AC10" s="21" t="s">
        <v>70</v>
      </c>
      <c r="AD10" s="22">
        <v>39091</v>
      </c>
      <c r="AE10" s="23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</row>
    <row r="11" spans="1:84" s="2" customFormat="1" x14ac:dyDescent="0.2">
      <c r="A11" s="17" t="s">
        <v>3921</v>
      </c>
      <c r="B11" s="17" t="s">
        <v>45</v>
      </c>
      <c r="C11" s="17">
        <v>2025</v>
      </c>
      <c r="D11" s="17" t="str">
        <f t="array" ref="D11">_xlfn.SWITCH(E11,"Jatikalen","35.18.20","Kertosono", "35.18.08","Lengkong","35.18.19","Loceret","35.18.04","Tanjunganom","35.18.11","Wilangan","35.18.15")</f>
        <v>35.18.19</v>
      </c>
      <c r="E11" s="16" t="s">
        <v>64</v>
      </c>
      <c r="F11" s="17" t="s">
        <v>71</v>
      </c>
      <c r="G11" s="17" t="s">
        <v>68</v>
      </c>
      <c r="H11" s="16" t="s">
        <v>47</v>
      </c>
      <c r="I11" s="16">
        <v>0</v>
      </c>
      <c r="J11" s="16">
        <v>16</v>
      </c>
      <c r="K11" s="16">
        <f t="shared" si="0"/>
        <v>16</v>
      </c>
      <c r="L11" s="18">
        <v>210250000</v>
      </c>
      <c r="M11" s="17" t="s">
        <v>72</v>
      </c>
      <c r="N11" s="18">
        <v>120</v>
      </c>
      <c r="O11" s="16" t="s">
        <v>51</v>
      </c>
      <c r="P11" s="18">
        <v>1050000000</v>
      </c>
      <c r="Q11" s="19" t="s">
        <v>57</v>
      </c>
      <c r="R11" s="18">
        <v>785</v>
      </c>
      <c r="S11" s="20" t="s">
        <v>51</v>
      </c>
      <c r="T11" s="18">
        <v>510000000</v>
      </c>
      <c r="U11" s="20" t="s">
        <v>22</v>
      </c>
      <c r="V11" s="20" t="s">
        <v>52</v>
      </c>
      <c r="W11" s="20">
        <v>850</v>
      </c>
      <c r="X11" s="20" t="s">
        <v>53</v>
      </c>
      <c r="Y11" s="20">
        <v>100</v>
      </c>
      <c r="Z11" s="20">
        <v>0</v>
      </c>
      <c r="AA11" s="20">
        <v>0</v>
      </c>
      <c r="AB11" s="21">
        <v>0</v>
      </c>
      <c r="AC11" s="21" t="s">
        <v>73</v>
      </c>
      <c r="AD11" s="22">
        <v>39120</v>
      </c>
      <c r="AE11" s="23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</row>
    <row r="12" spans="1:84" s="2" customFormat="1" x14ac:dyDescent="0.2">
      <c r="A12" s="17" t="s">
        <v>3921</v>
      </c>
      <c r="B12" s="17" t="s">
        <v>45</v>
      </c>
      <c r="C12" s="17">
        <v>2025</v>
      </c>
      <c r="D12" s="17" t="str">
        <f t="array" ref="D12">_xlfn.SWITCH(E12,"Bagor","35.18.14","Sukomoro",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2" s="16" t="s">
        <v>71</v>
      </c>
      <c r="F12" s="17" t="s">
        <v>74</v>
      </c>
      <c r="G12" s="17" t="s">
        <v>75</v>
      </c>
      <c r="H12" s="16" t="s">
        <v>47</v>
      </c>
      <c r="I12" s="16">
        <v>0</v>
      </c>
      <c r="J12" s="16">
        <v>12</v>
      </c>
      <c r="K12" s="16">
        <f t="shared" si="0"/>
        <v>12</v>
      </c>
      <c r="L12" s="18">
        <v>25950000</v>
      </c>
      <c r="M12" s="17" t="s">
        <v>72</v>
      </c>
      <c r="N12" s="18">
        <v>120</v>
      </c>
      <c r="O12" s="16" t="s">
        <v>51</v>
      </c>
      <c r="P12" s="18">
        <v>1050000000</v>
      </c>
      <c r="Q12" s="19" t="s">
        <v>57</v>
      </c>
      <c r="R12" s="18">
        <v>785</v>
      </c>
      <c r="S12" s="20" t="s">
        <v>51</v>
      </c>
      <c r="T12" s="18">
        <v>510000000</v>
      </c>
      <c r="U12" s="20" t="s">
        <v>22</v>
      </c>
      <c r="V12" s="20" t="s">
        <v>52</v>
      </c>
      <c r="W12" s="20">
        <v>850</v>
      </c>
      <c r="X12" s="20" t="s">
        <v>53</v>
      </c>
      <c r="Y12" s="20">
        <v>100</v>
      </c>
      <c r="Z12" s="20">
        <v>0</v>
      </c>
      <c r="AA12" s="20">
        <v>0</v>
      </c>
      <c r="AB12" s="21">
        <v>0</v>
      </c>
      <c r="AC12" s="21" t="s">
        <v>76</v>
      </c>
      <c r="AD12" s="22">
        <v>39135</v>
      </c>
      <c r="AE12" s="23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</row>
    <row r="13" spans="1:84" s="2" customFormat="1" x14ac:dyDescent="0.2">
      <c r="A13" s="17" t="s">
        <v>3921</v>
      </c>
      <c r="B13" s="17" t="s">
        <v>45</v>
      </c>
      <c r="C13" s="17">
        <v>2025</v>
      </c>
      <c r="D13" s="17" t="str">
        <f t="array" ref="D13">_xlfn.SWITCH(E13,"Jatikalen","35.18.20","Kertosono", "35.18.08","Lengkong","35.18.19","Loceret","35.18.04","Tanjunganom","35.18.11","Wilangan","35.18.15")</f>
        <v>35.18.11</v>
      </c>
      <c r="E13" s="16" t="s">
        <v>60</v>
      </c>
      <c r="F13" s="17" t="s">
        <v>59</v>
      </c>
      <c r="G13" s="17" t="s">
        <v>77</v>
      </c>
      <c r="H13" s="16" t="s">
        <v>47</v>
      </c>
      <c r="I13" s="16">
        <v>0</v>
      </c>
      <c r="J13" s="16">
        <v>18</v>
      </c>
      <c r="K13" s="16">
        <f t="shared" si="0"/>
        <v>18</v>
      </c>
      <c r="L13" s="18">
        <v>156650000</v>
      </c>
      <c r="M13" s="17" t="s">
        <v>72</v>
      </c>
      <c r="N13" s="18">
        <v>84</v>
      </c>
      <c r="O13" s="16" t="s">
        <v>51</v>
      </c>
      <c r="P13" s="18">
        <v>735000000</v>
      </c>
      <c r="Q13" s="19" t="s">
        <v>57</v>
      </c>
      <c r="R13" s="18">
        <v>510</v>
      </c>
      <c r="S13" s="20" t="s">
        <v>51</v>
      </c>
      <c r="T13" s="18">
        <v>330750000</v>
      </c>
      <c r="U13" s="20" t="s">
        <v>22</v>
      </c>
      <c r="V13" s="20" t="s">
        <v>52</v>
      </c>
      <c r="W13" s="20">
        <v>600</v>
      </c>
      <c r="X13" s="20" t="s">
        <v>53</v>
      </c>
      <c r="Y13" s="20">
        <v>100</v>
      </c>
      <c r="Z13" s="20">
        <v>0</v>
      </c>
      <c r="AA13" s="20">
        <v>0</v>
      </c>
      <c r="AB13" s="21">
        <v>0</v>
      </c>
      <c r="AC13" s="21" t="s">
        <v>78</v>
      </c>
      <c r="AD13" s="22">
        <v>39149</v>
      </c>
      <c r="AE13" s="23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</row>
    <row r="14" spans="1:84" s="2" customFormat="1" x14ac:dyDescent="0.2">
      <c r="A14" s="17" t="s">
        <v>3921</v>
      </c>
      <c r="B14" s="17" t="s">
        <v>45</v>
      </c>
      <c r="C14" s="17">
        <v>2025</v>
      </c>
      <c r="D14" s="17" t="str">
        <f t="array" ref="D14">_xlfn.SWITCH(E14,"Bagor","35.18.14","Sukomoro",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" s="16" t="s">
        <v>45</v>
      </c>
      <c r="F14" s="17" t="s">
        <v>79</v>
      </c>
      <c r="G14" s="17" t="s">
        <v>80</v>
      </c>
      <c r="H14" s="16" t="s">
        <v>81</v>
      </c>
      <c r="I14" s="16">
        <v>45</v>
      </c>
      <c r="J14" s="16">
        <v>5</v>
      </c>
      <c r="K14" s="16">
        <f t="shared" si="0"/>
        <v>50</v>
      </c>
      <c r="L14" s="18">
        <v>1500000000</v>
      </c>
      <c r="M14" s="17" t="s">
        <v>82</v>
      </c>
      <c r="N14" s="18">
        <v>1300</v>
      </c>
      <c r="O14" s="16" t="s">
        <v>83</v>
      </c>
      <c r="P14" s="18">
        <v>1350000000</v>
      </c>
      <c r="Q14" s="19" t="s">
        <v>84</v>
      </c>
      <c r="R14" s="18">
        <v>1700</v>
      </c>
      <c r="S14" s="20" t="s">
        <v>83</v>
      </c>
      <c r="T14" s="18">
        <v>750500000</v>
      </c>
      <c r="U14" s="20" t="s">
        <v>22</v>
      </c>
      <c r="V14" s="20">
        <v>0</v>
      </c>
      <c r="W14" s="20">
        <v>0</v>
      </c>
      <c r="X14" s="20">
        <v>0</v>
      </c>
      <c r="Y14" s="20">
        <v>80</v>
      </c>
      <c r="Z14" s="20">
        <v>20</v>
      </c>
      <c r="AA14" s="20">
        <v>0</v>
      </c>
      <c r="AB14" s="21">
        <v>0</v>
      </c>
      <c r="AC14" s="21" t="s">
        <v>85</v>
      </c>
      <c r="AD14" s="22">
        <v>39133</v>
      </c>
      <c r="AE14" s="23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</row>
    <row r="15" spans="1:84" s="2" customFormat="1" x14ac:dyDescent="0.2">
      <c r="A15" s="17" t="s">
        <v>3921</v>
      </c>
      <c r="B15" s="17" t="s">
        <v>45</v>
      </c>
      <c r="C15" s="17">
        <v>2025</v>
      </c>
      <c r="D15" s="17" t="str">
        <f t="array" ref="D15">_xlfn.SWITCH(E15,"Bagor","35.18.14","Sukomoro",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" s="16" t="s">
        <v>45</v>
      </c>
      <c r="F15" s="17" t="s">
        <v>86</v>
      </c>
      <c r="G15" s="17" t="s">
        <v>87</v>
      </c>
      <c r="H15" s="16" t="s">
        <v>31</v>
      </c>
      <c r="I15" s="16">
        <v>2</v>
      </c>
      <c r="J15" s="16">
        <v>7</v>
      </c>
      <c r="K15" s="16">
        <f t="shared" si="0"/>
        <v>9</v>
      </c>
      <c r="L15" s="18">
        <v>552000000</v>
      </c>
      <c r="M15" s="17" t="s">
        <v>88</v>
      </c>
      <c r="N15" s="18">
        <v>325</v>
      </c>
      <c r="O15" s="16" t="s">
        <v>83</v>
      </c>
      <c r="P15" s="18">
        <v>310000000</v>
      </c>
      <c r="Q15" s="19" t="s">
        <v>89</v>
      </c>
      <c r="R15" s="18">
        <v>450</v>
      </c>
      <c r="S15" s="20" t="s">
        <v>83</v>
      </c>
      <c r="T15" s="18">
        <v>165300000</v>
      </c>
      <c r="U15" s="20" t="s">
        <v>22</v>
      </c>
      <c r="V15" s="20">
        <v>0</v>
      </c>
      <c r="W15" s="20">
        <v>0</v>
      </c>
      <c r="X15" s="20">
        <v>0</v>
      </c>
      <c r="Y15" s="20">
        <v>70</v>
      </c>
      <c r="Z15" s="20">
        <v>30</v>
      </c>
      <c r="AA15" s="20">
        <v>0</v>
      </c>
      <c r="AB15" s="21">
        <v>0</v>
      </c>
      <c r="AC15" s="21" t="s">
        <v>90</v>
      </c>
      <c r="AD15" s="22">
        <v>39091</v>
      </c>
      <c r="AE15" s="23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</row>
    <row r="16" spans="1:84" s="2" customFormat="1" x14ac:dyDescent="0.2">
      <c r="A16" s="17" t="s">
        <v>3921</v>
      </c>
      <c r="B16" s="17" t="s">
        <v>45</v>
      </c>
      <c r="C16" s="17">
        <v>2025</v>
      </c>
      <c r="D16" s="17" t="str">
        <f t="array" ref="D16">_xlfn.SWITCH(E16,"Bagor","35.18.14","Sukomoro",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6" s="16" t="s">
        <v>92</v>
      </c>
      <c r="F16" s="17" t="s">
        <v>91</v>
      </c>
      <c r="G16" s="17" t="s">
        <v>93</v>
      </c>
      <c r="H16" s="16" t="s">
        <v>81</v>
      </c>
      <c r="I16" s="16">
        <v>0</v>
      </c>
      <c r="J16" s="16">
        <v>6</v>
      </c>
      <c r="K16" s="16">
        <f t="shared" si="0"/>
        <v>6</v>
      </c>
      <c r="L16" s="18">
        <v>200000000</v>
      </c>
      <c r="M16" s="17" t="s">
        <v>94</v>
      </c>
      <c r="N16" s="18">
        <v>52</v>
      </c>
      <c r="O16" s="16" t="s">
        <v>95</v>
      </c>
      <c r="P16" s="18">
        <v>295100000</v>
      </c>
      <c r="Q16" s="19" t="s">
        <v>96</v>
      </c>
      <c r="R16" s="18">
        <v>1700</v>
      </c>
      <c r="S16" s="20" t="s">
        <v>97</v>
      </c>
      <c r="T16" s="18">
        <v>171286000</v>
      </c>
      <c r="U16" s="20" t="s">
        <v>22</v>
      </c>
      <c r="V16" s="20">
        <v>0</v>
      </c>
      <c r="W16" s="20">
        <v>0</v>
      </c>
      <c r="X16" s="20">
        <v>0</v>
      </c>
      <c r="Y16" s="20">
        <v>55</v>
      </c>
      <c r="Z16" s="20">
        <v>45</v>
      </c>
      <c r="AA16" s="20">
        <v>0</v>
      </c>
      <c r="AB16" s="21">
        <v>0</v>
      </c>
      <c r="AC16" s="21" t="s">
        <v>98</v>
      </c>
      <c r="AD16" s="22">
        <v>39253</v>
      </c>
      <c r="AE16" s="23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</row>
    <row r="17" spans="1:84" s="2" customFormat="1" x14ac:dyDescent="0.2">
      <c r="A17" s="17" t="s">
        <v>3921</v>
      </c>
      <c r="B17" s="17" t="s">
        <v>45</v>
      </c>
      <c r="C17" s="17">
        <v>2025</v>
      </c>
      <c r="D17" s="17" t="str">
        <f t="array" ref="D17">_xlfn.SWITCH(E17,"Jatikalen","35.18.20","Kertosono", "35.18.08","Lengkong","35.18.19","Loceret","35.18.04","Tanjunganom","35.18.11","Wilangan","35.18.15")</f>
        <v>35.18.11</v>
      </c>
      <c r="E17" s="16" t="s">
        <v>60</v>
      </c>
      <c r="F17" s="17" t="s">
        <v>59</v>
      </c>
      <c r="G17" s="17" t="s">
        <v>99</v>
      </c>
      <c r="H17" s="16" t="s">
        <v>47</v>
      </c>
      <c r="I17" s="16">
        <v>0</v>
      </c>
      <c r="J17" s="16">
        <v>4</v>
      </c>
      <c r="K17" s="16">
        <f t="shared" si="0"/>
        <v>4</v>
      </c>
      <c r="L17" s="18">
        <v>81000000</v>
      </c>
      <c r="M17" s="17" t="s">
        <v>100</v>
      </c>
      <c r="N17" s="18">
        <v>600</v>
      </c>
      <c r="O17" s="16" t="s">
        <v>95</v>
      </c>
      <c r="P17" s="18">
        <v>45000000</v>
      </c>
      <c r="Q17" s="19" t="s">
        <v>96</v>
      </c>
      <c r="R17" s="18">
        <v>260</v>
      </c>
      <c r="S17" s="20" t="s">
        <v>97</v>
      </c>
      <c r="T17" s="18">
        <v>23700000</v>
      </c>
      <c r="U17" s="20" t="s">
        <v>22</v>
      </c>
      <c r="V17" s="20">
        <v>0</v>
      </c>
      <c r="W17" s="20">
        <v>0</v>
      </c>
      <c r="X17" s="20">
        <v>0</v>
      </c>
      <c r="Y17" s="20">
        <v>100</v>
      </c>
      <c r="Z17" s="20">
        <v>0</v>
      </c>
      <c r="AA17" s="20">
        <v>0</v>
      </c>
      <c r="AB17" s="21">
        <v>0</v>
      </c>
      <c r="AC17" s="21" t="s">
        <v>101</v>
      </c>
      <c r="AD17" s="22">
        <v>39206</v>
      </c>
      <c r="AE17" s="23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</row>
    <row r="18" spans="1:84" s="2" customFormat="1" x14ac:dyDescent="0.2">
      <c r="A18" s="17" t="s">
        <v>3921</v>
      </c>
      <c r="B18" s="17" t="s">
        <v>45</v>
      </c>
      <c r="C18" s="17">
        <v>2025</v>
      </c>
      <c r="D18" s="17" t="str">
        <f t="array" ref="D18">_xlfn.SWITCH(E18,"Bagor","35.18.14","Sukomoro",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8" s="16" t="s">
        <v>103</v>
      </c>
      <c r="F18" s="17" t="s">
        <v>102</v>
      </c>
      <c r="G18" s="17" t="s">
        <v>104</v>
      </c>
      <c r="H18" s="16" t="s">
        <v>47</v>
      </c>
      <c r="I18" s="16">
        <v>0</v>
      </c>
      <c r="J18" s="16">
        <v>5</v>
      </c>
      <c r="K18" s="16">
        <f t="shared" si="0"/>
        <v>5</v>
      </c>
      <c r="L18" s="18">
        <v>25250000</v>
      </c>
      <c r="M18" s="17" t="s">
        <v>100</v>
      </c>
      <c r="N18" s="18">
        <v>110</v>
      </c>
      <c r="O18" s="16" t="s">
        <v>95</v>
      </c>
      <c r="P18" s="18">
        <v>13750000</v>
      </c>
      <c r="Q18" s="19" t="s">
        <v>96</v>
      </c>
      <c r="R18" s="18">
        <v>64</v>
      </c>
      <c r="S18" s="20" t="s">
        <v>97</v>
      </c>
      <c r="T18" s="18">
        <v>5780000</v>
      </c>
      <c r="U18" s="20" t="s">
        <v>22</v>
      </c>
      <c r="V18" s="20">
        <v>0</v>
      </c>
      <c r="W18" s="20">
        <v>0</v>
      </c>
      <c r="X18" s="20">
        <v>0</v>
      </c>
      <c r="Y18" s="20">
        <v>100</v>
      </c>
      <c r="Z18" s="20">
        <v>0</v>
      </c>
      <c r="AA18" s="20">
        <v>0</v>
      </c>
      <c r="AB18" s="21">
        <v>0</v>
      </c>
      <c r="AC18" s="21" t="s">
        <v>105</v>
      </c>
      <c r="AD18" s="22">
        <v>39230</v>
      </c>
      <c r="AE18" s="23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</row>
    <row r="19" spans="1:84" s="2" customFormat="1" x14ac:dyDescent="0.2">
      <c r="A19" s="17" t="s">
        <v>3921</v>
      </c>
      <c r="B19" s="17" t="s">
        <v>45</v>
      </c>
      <c r="C19" s="17">
        <v>2025</v>
      </c>
      <c r="D19" s="17" t="str">
        <f t="array" ref="D19">_xlfn.SWITCH(E19,"Jatikalen","35.18.20","Kertosono", "35.18.08","Lengkong","35.18.19","Loceret","35.18.04","Tanjunganom","35.18.11","Wilangan","35.18.15")</f>
        <v>35.18.04</v>
      </c>
      <c r="E19" s="16" t="s">
        <v>41</v>
      </c>
      <c r="F19" s="17" t="s">
        <v>106</v>
      </c>
      <c r="G19" s="17" t="s">
        <v>107</v>
      </c>
      <c r="H19" s="16" t="s">
        <v>47</v>
      </c>
      <c r="I19" s="16">
        <v>1</v>
      </c>
      <c r="J19" s="16">
        <v>21</v>
      </c>
      <c r="K19" s="16">
        <f t="shared" si="0"/>
        <v>22</v>
      </c>
      <c r="L19" s="18">
        <v>232000000</v>
      </c>
      <c r="M19" s="17" t="s">
        <v>108</v>
      </c>
      <c r="N19" s="18">
        <v>10000</v>
      </c>
      <c r="O19" s="16" t="s">
        <v>49</v>
      </c>
      <c r="P19" s="18">
        <v>4750000000</v>
      </c>
      <c r="Q19" s="19" t="s">
        <v>57</v>
      </c>
      <c r="R19" s="18">
        <v>2016</v>
      </c>
      <c r="S19" s="20" t="s">
        <v>51</v>
      </c>
      <c r="T19" s="18">
        <v>1335500000</v>
      </c>
      <c r="U19" s="20" t="s">
        <v>22</v>
      </c>
      <c r="V19" s="20" t="s">
        <v>52</v>
      </c>
      <c r="W19" s="20">
        <v>750</v>
      </c>
      <c r="X19" s="20" t="s">
        <v>53</v>
      </c>
      <c r="Y19" s="20">
        <v>60</v>
      </c>
      <c r="Z19" s="20">
        <v>40</v>
      </c>
      <c r="AA19" s="20">
        <v>0</v>
      </c>
      <c r="AB19" s="21">
        <v>0</v>
      </c>
      <c r="AC19" s="21" t="s">
        <v>109</v>
      </c>
      <c r="AD19" s="22">
        <v>39112</v>
      </c>
      <c r="AE19" s="23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</row>
    <row r="20" spans="1:84" s="2" customFormat="1" x14ac:dyDescent="0.2">
      <c r="A20" s="17" t="s">
        <v>3921</v>
      </c>
      <c r="B20" s="17" t="s">
        <v>45</v>
      </c>
      <c r="C20" s="17">
        <v>2025</v>
      </c>
      <c r="D20" s="17" t="str">
        <f t="array" ref="D20">_xlfn.SWITCH(E20,"Jatikalen","35.18.20","Kertosono", "35.18.08","Lengkong","35.18.19","Loceret","35.18.04","Tanjunganom","35.18.11","Wilangan","35.18.15")</f>
        <v>35.18.04</v>
      </c>
      <c r="E20" s="16" t="s">
        <v>41</v>
      </c>
      <c r="F20" s="17" t="s">
        <v>110</v>
      </c>
      <c r="G20" s="17" t="s">
        <v>111</v>
      </c>
      <c r="H20" s="16" t="s">
        <v>31</v>
      </c>
      <c r="I20" s="16">
        <v>5</v>
      </c>
      <c r="J20" s="16">
        <v>24</v>
      </c>
      <c r="K20" s="16">
        <f t="shared" si="0"/>
        <v>29</v>
      </c>
      <c r="L20" s="18">
        <v>200000000</v>
      </c>
      <c r="M20" s="17" t="s">
        <v>72</v>
      </c>
      <c r="N20" s="18">
        <v>300</v>
      </c>
      <c r="O20" s="16" t="s">
        <v>51</v>
      </c>
      <c r="P20" s="18">
        <v>3200000000</v>
      </c>
      <c r="Q20" s="19" t="s">
        <v>57</v>
      </c>
      <c r="R20" s="18">
        <v>2350</v>
      </c>
      <c r="S20" s="20" t="s">
        <v>51</v>
      </c>
      <c r="T20" s="18">
        <v>1485000000</v>
      </c>
      <c r="U20" s="20" t="s">
        <v>22</v>
      </c>
      <c r="V20" s="20" t="s">
        <v>52</v>
      </c>
      <c r="W20" s="20">
        <v>850</v>
      </c>
      <c r="X20" s="20" t="s">
        <v>53</v>
      </c>
      <c r="Y20" s="20">
        <v>70</v>
      </c>
      <c r="Z20" s="20">
        <v>30</v>
      </c>
      <c r="AA20" s="20">
        <v>0</v>
      </c>
      <c r="AB20" s="21">
        <v>0</v>
      </c>
      <c r="AC20" s="21" t="s">
        <v>112</v>
      </c>
      <c r="AD20" s="22">
        <v>39099</v>
      </c>
      <c r="AE20" s="23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</row>
    <row r="21" spans="1:84" s="2" customFormat="1" x14ac:dyDescent="0.2">
      <c r="A21" s="17" t="s">
        <v>3921</v>
      </c>
      <c r="B21" s="17" t="s">
        <v>45</v>
      </c>
      <c r="C21" s="17">
        <v>2025</v>
      </c>
      <c r="D21" s="17" t="str">
        <f t="array" ref="D21">_xlfn.SWITCH(E21,"Bagor","35.18.14","Sukomoro",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21" s="16" t="s">
        <v>114</v>
      </c>
      <c r="F21" s="17" t="s">
        <v>113</v>
      </c>
      <c r="G21" s="17" t="s">
        <v>115</v>
      </c>
      <c r="H21" s="16" t="s">
        <v>31</v>
      </c>
      <c r="I21" s="16">
        <v>3</v>
      </c>
      <c r="J21" s="16">
        <v>10</v>
      </c>
      <c r="K21" s="16">
        <f t="shared" si="0"/>
        <v>13</v>
      </c>
      <c r="L21" s="18">
        <v>50000000</v>
      </c>
      <c r="M21" s="17" t="s">
        <v>32</v>
      </c>
      <c r="N21" s="18">
        <v>1000000</v>
      </c>
      <c r="O21" s="16" t="s">
        <v>33</v>
      </c>
      <c r="P21" s="18">
        <f>N21*250</f>
        <v>250000000</v>
      </c>
      <c r="Q21" s="19" t="s">
        <v>34</v>
      </c>
      <c r="R21" s="18">
        <v>100</v>
      </c>
      <c r="S21" s="20" t="s">
        <v>35</v>
      </c>
      <c r="T21" s="18">
        <v>75785000</v>
      </c>
      <c r="U21" s="20" t="s">
        <v>22</v>
      </c>
      <c r="V21" s="20">
        <v>0</v>
      </c>
      <c r="W21" s="20">
        <v>0</v>
      </c>
      <c r="X21" s="20">
        <v>0</v>
      </c>
      <c r="Y21" s="20">
        <v>65</v>
      </c>
      <c r="Z21" s="20">
        <v>35</v>
      </c>
      <c r="AA21" s="20">
        <v>0</v>
      </c>
      <c r="AB21" s="21">
        <v>0</v>
      </c>
      <c r="AC21" s="16" t="s">
        <v>116</v>
      </c>
      <c r="AD21" s="25" t="s">
        <v>117</v>
      </c>
      <c r="AE21" s="23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</row>
    <row r="22" spans="1:84" s="2" customFormat="1" x14ac:dyDescent="0.2">
      <c r="A22" s="17" t="s">
        <v>3921</v>
      </c>
      <c r="B22" s="17" t="s">
        <v>45</v>
      </c>
      <c r="C22" s="17">
        <v>2025</v>
      </c>
      <c r="D22" s="17" t="str">
        <f t="array" ref="D22">_xlfn.SWITCH(E22,"Bagor","35.18.14","Sukomoro",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22" s="16" t="s">
        <v>29</v>
      </c>
      <c r="F22" s="17" t="s">
        <v>37</v>
      </c>
      <c r="G22" s="17" t="s">
        <v>118</v>
      </c>
      <c r="H22" s="16" t="s">
        <v>31</v>
      </c>
      <c r="I22" s="16">
        <v>2</v>
      </c>
      <c r="J22" s="16">
        <v>8</v>
      </c>
      <c r="K22" s="16">
        <f t="shared" si="0"/>
        <v>10</v>
      </c>
      <c r="L22" s="18">
        <v>75000000</v>
      </c>
      <c r="M22" s="17" t="s">
        <v>32</v>
      </c>
      <c r="N22" s="18">
        <v>1000000</v>
      </c>
      <c r="O22" s="16" t="s">
        <v>33</v>
      </c>
      <c r="P22" s="18">
        <f>N22*260</f>
        <v>260000000</v>
      </c>
      <c r="Q22" s="19" t="s">
        <v>34</v>
      </c>
      <c r="R22" s="18">
        <v>100</v>
      </c>
      <c r="S22" s="20" t="s">
        <v>35</v>
      </c>
      <c r="T22" s="18">
        <v>89800000</v>
      </c>
      <c r="U22" s="20" t="s">
        <v>22</v>
      </c>
      <c r="V22" s="20">
        <v>0</v>
      </c>
      <c r="W22" s="20">
        <v>0</v>
      </c>
      <c r="X22" s="20">
        <v>0</v>
      </c>
      <c r="Y22" s="20">
        <v>70</v>
      </c>
      <c r="Z22" s="20">
        <v>30</v>
      </c>
      <c r="AA22" s="20">
        <v>0</v>
      </c>
      <c r="AB22" s="21">
        <v>0</v>
      </c>
      <c r="AC22" s="26" t="s">
        <v>119</v>
      </c>
      <c r="AD22" s="27" t="s">
        <v>120</v>
      </c>
      <c r="AE22" s="23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</row>
    <row r="23" spans="1:84" s="2" customFormat="1" x14ac:dyDescent="0.2">
      <c r="A23" s="17" t="s">
        <v>3921</v>
      </c>
      <c r="B23" s="17" t="s">
        <v>45</v>
      </c>
      <c r="C23" s="17">
        <v>2025</v>
      </c>
      <c r="D23" s="17" t="str">
        <f t="array" ref="D23">_xlfn.SWITCH(E23,"Bagor","35.18.14","Sukomoro",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23" s="16" t="s">
        <v>114</v>
      </c>
      <c r="F23" s="17" t="s">
        <v>113</v>
      </c>
      <c r="G23" s="17" t="s">
        <v>121</v>
      </c>
      <c r="H23" s="16" t="s">
        <v>31</v>
      </c>
      <c r="I23" s="16">
        <v>3</v>
      </c>
      <c r="J23" s="16">
        <v>8</v>
      </c>
      <c r="K23" s="16">
        <f t="shared" si="0"/>
        <v>11</v>
      </c>
      <c r="L23" s="18">
        <v>100000000</v>
      </c>
      <c r="M23" s="17" t="s">
        <v>32</v>
      </c>
      <c r="N23" s="18">
        <v>16000000</v>
      </c>
      <c r="O23" s="16" t="s">
        <v>33</v>
      </c>
      <c r="P23" s="18">
        <v>5984000000</v>
      </c>
      <c r="Q23" s="19" t="s">
        <v>34</v>
      </c>
      <c r="R23" s="18">
        <v>1600</v>
      </c>
      <c r="S23" s="20" t="s">
        <v>35</v>
      </c>
      <c r="T23" s="18">
        <v>1254308000</v>
      </c>
      <c r="U23" s="20" t="s">
        <v>22</v>
      </c>
      <c r="V23" s="20">
        <v>0</v>
      </c>
      <c r="W23" s="20">
        <v>0</v>
      </c>
      <c r="X23" s="20">
        <v>0</v>
      </c>
      <c r="Y23" s="20">
        <v>50</v>
      </c>
      <c r="Z23" s="20">
        <v>35</v>
      </c>
      <c r="AA23" s="20">
        <v>15</v>
      </c>
      <c r="AB23" s="21">
        <v>0</v>
      </c>
      <c r="AC23" s="21" t="s">
        <v>122</v>
      </c>
      <c r="AD23" s="22">
        <v>39287</v>
      </c>
      <c r="AE23" s="23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</row>
    <row r="24" spans="1:84" s="2" customFormat="1" x14ac:dyDescent="0.2">
      <c r="A24" s="17" t="s">
        <v>3921</v>
      </c>
      <c r="B24" s="17" t="s">
        <v>45</v>
      </c>
      <c r="C24" s="17">
        <v>2025</v>
      </c>
      <c r="D24" s="17" t="str">
        <f t="array" ref="D24">_xlfn.SWITCH(E24,"Bagor","35.18.14","Sukomoro",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4" s="16" t="s">
        <v>124</v>
      </c>
      <c r="F24" s="17" t="s">
        <v>123</v>
      </c>
      <c r="G24" s="17" t="s">
        <v>125</v>
      </c>
      <c r="H24" s="16" t="s">
        <v>31</v>
      </c>
      <c r="I24" s="16">
        <v>5</v>
      </c>
      <c r="J24" s="16">
        <v>20</v>
      </c>
      <c r="K24" s="16">
        <f t="shared" si="0"/>
        <v>25</v>
      </c>
      <c r="L24" s="18">
        <v>125000000</v>
      </c>
      <c r="M24" s="17" t="s">
        <v>32</v>
      </c>
      <c r="N24" s="18">
        <v>250000</v>
      </c>
      <c r="O24" s="16" t="s">
        <v>33</v>
      </c>
      <c r="P24" s="18">
        <v>93500000</v>
      </c>
      <c r="Q24" s="19" t="s">
        <v>34</v>
      </c>
      <c r="R24" s="18">
        <v>25</v>
      </c>
      <c r="S24" s="20" t="s">
        <v>35</v>
      </c>
      <c r="T24" s="18">
        <v>27138000</v>
      </c>
      <c r="U24" s="20" t="s">
        <v>22</v>
      </c>
      <c r="V24" s="20">
        <v>0</v>
      </c>
      <c r="W24" s="20">
        <v>0</v>
      </c>
      <c r="X24" s="20">
        <v>0</v>
      </c>
      <c r="Y24" s="20">
        <v>70</v>
      </c>
      <c r="Z24" s="20">
        <v>30</v>
      </c>
      <c r="AA24" s="20">
        <v>0</v>
      </c>
      <c r="AB24" s="21">
        <v>0</v>
      </c>
      <c r="AC24" s="21" t="s">
        <v>126</v>
      </c>
      <c r="AD24" s="22">
        <v>39293</v>
      </c>
      <c r="AE24" s="23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</row>
    <row r="25" spans="1:84" s="2" customFormat="1" x14ac:dyDescent="0.2">
      <c r="A25" s="17" t="s">
        <v>3921</v>
      </c>
      <c r="B25" s="17" t="s">
        <v>45</v>
      </c>
      <c r="C25" s="17">
        <v>2025</v>
      </c>
      <c r="D25" s="17" t="str">
        <f t="array" ref="D25">_xlfn.SWITCH(E25,"Jatikalen","35.18.20","Kertosono", "35.18.08","Lengkong","35.18.19","Loceret","35.18.04","Tanjunganom","35.18.11","Wilangan","35.18.15")</f>
        <v>35.18.08</v>
      </c>
      <c r="E25" s="16" t="s">
        <v>128</v>
      </c>
      <c r="F25" s="17" t="s">
        <v>127</v>
      </c>
      <c r="G25" s="17" t="s">
        <v>129</v>
      </c>
      <c r="H25" s="16" t="s">
        <v>31</v>
      </c>
      <c r="I25" s="16">
        <v>1</v>
      </c>
      <c r="J25" s="16">
        <v>6</v>
      </c>
      <c r="K25" s="16">
        <f t="shared" si="0"/>
        <v>7</v>
      </c>
      <c r="L25" s="18">
        <v>76000000</v>
      </c>
      <c r="M25" s="17" t="s">
        <v>32</v>
      </c>
      <c r="N25" s="18">
        <v>300000</v>
      </c>
      <c r="O25" s="16" t="s">
        <v>33</v>
      </c>
      <c r="P25" s="18">
        <f>N25*200</f>
        <v>60000000</v>
      </c>
      <c r="Q25" s="19" t="s">
        <v>34</v>
      </c>
      <c r="R25" s="18">
        <v>32</v>
      </c>
      <c r="S25" s="20" t="s">
        <v>35</v>
      </c>
      <c r="T25" s="18">
        <v>23850000</v>
      </c>
      <c r="U25" s="20" t="s">
        <v>22</v>
      </c>
      <c r="V25" s="20">
        <v>0</v>
      </c>
      <c r="W25" s="20">
        <v>0</v>
      </c>
      <c r="X25" s="20">
        <v>0</v>
      </c>
      <c r="Y25" s="20">
        <v>65</v>
      </c>
      <c r="Z25" s="20">
        <v>35</v>
      </c>
      <c r="AA25" s="20">
        <v>0</v>
      </c>
      <c r="AB25" s="21">
        <v>0</v>
      </c>
      <c r="AC25" s="26" t="s">
        <v>130</v>
      </c>
      <c r="AD25" s="27" t="s">
        <v>131</v>
      </c>
      <c r="AE25" s="23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</row>
    <row r="26" spans="1:84" s="2" customFormat="1" x14ac:dyDescent="0.2">
      <c r="A26" s="17" t="s">
        <v>3921</v>
      </c>
      <c r="B26" s="17" t="s">
        <v>45</v>
      </c>
      <c r="C26" s="17">
        <v>2025</v>
      </c>
      <c r="D26" s="17" t="str">
        <f t="array" ref="D26">_xlfn.SWITCH(E26,"Bagor","35.18.14","Sukomoro",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26" s="16" t="s">
        <v>29</v>
      </c>
      <c r="F26" s="17" t="s">
        <v>28</v>
      </c>
      <c r="G26" s="17" t="s">
        <v>132</v>
      </c>
      <c r="H26" s="16" t="s">
        <v>31</v>
      </c>
      <c r="I26" s="16">
        <v>14</v>
      </c>
      <c r="J26" s="16">
        <v>186</v>
      </c>
      <c r="K26" s="16">
        <f t="shared" si="0"/>
        <v>200</v>
      </c>
      <c r="L26" s="18">
        <v>60500000</v>
      </c>
      <c r="M26" s="17" t="s">
        <v>32</v>
      </c>
      <c r="N26" s="18">
        <v>250000000</v>
      </c>
      <c r="O26" s="16" t="s">
        <v>33</v>
      </c>
      <c r="P26" s="18">
        <v>78000000000</v>
      </c>
      <c r="Q26" s="19" t="s">
        <v>34</v>
      </c>
      <c r="R26" s="18">
        <v>25000</v>
      </c>
      <c r="S26" s="20" t="s">
        <v>35</v>
      </c>
      <c r="T26" s="18">
        <v>23005750000</v>
      </c>
      <c r="U26" s="20" t="s">
        <v>22</v>
      </c>
      <c r="V26" s="20">
        <v>0</v>
      </c>
      <c r="W26" s="20">
        <v>0</v>
      </c>
      <c r="X26" s="20">
        <v>0</v>
      </c>
      <c r="Y26" s="20">
        <v>70</v>
      </c>
      <c r="Z26" s="20">
        <v>30</v>
      </c>
      <c r="AA26" s="20">
        <v>0</v>
      </c>
      <c r="AB26" s="21">
        <v>0</v>
      </c>
      <c r="AC26" s="21" t="s">
        <v>133</v>
      </c>
      <c r="AD26" s="22">
        <v>39356</v>
      </c>
      <c r="AE26" s="23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</row>
    <row r="27" spans="1:84" s="2" customFormat="1" x14ac:dyDescent="0.2">
      <c r="A27" s="17" t="s">
        <v>3921</v>
      </c>
      <c r="B27" s="17" t="s">
        <v>45</v>
      </c>
      <c r="C27" s="17">
        <v>2025</v>
      </c>
      <c r="D27" s="17" t="str">
        <f t="array" ref="D27">_xlfn.SWITCH(E27,"Bagor","35.18.14","Sukomoro",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27" s="16" t="s">
        <v>29</v>
      </c>
      <c r="F27" s="17" t="s">
        <v>28</v>
      </c>
      <c r="G27" s="17" t="s">
        <v>134</v>
      </c>
      <c r="H27" s="16" t="s">
        <v>31</v>
      </c>
      <c r="I27" s="16">
        <v>3</v>
      </c>
      <c r="J27" s="16">
        <v>5</v>
      </c>
      <c r="K27" s="16">
        <f t="shared" si="0"/>
        <v>8</v>
      </c>
      <c r="L27" s="18">
        <v>80000000</v>
      </c>
      <c r="M27" s="17" t="s">
        <v>32</v>
      </c>
      <c r="N27" s="18">
        <v>850000</v>
      </c>
      <c r="O27" s="16" t="s">
        <v>33</v>
      </c>
      <c r="P27" s="18">
        <v>317900000</v>
      </c>
      <c r="Q27" s="19" t="s">
        <v>34</v>
      </c>
      <c r="R27" s="18">
        <v>90</v>
      </c>
      <c r="S27" s="20" t="s">
        <v>35</v>
      </c>
      <c r="T27" s="18">
        <v>93613000</v>
      </c>
      <c r="U27" s="20" t="s">
        <v>22</v>
      </c>
      <c r="V27" s="20">
        <v>0</v>
      </c>
      <c r="W27" s="20">
        <v>0</v>
      </c>
      <c r="X27" s="20">
        <v>0</v>
      </c>
      <c r="Y27" s="20">
        <v>60</v>
      </c>
      <c r="Z27" s="20">
        <v>40</v>
      </c>
      <c r="AA27" s="20">
        <v>0</v>
      </c>
      <c r="AB27" s="21">
        <v>0</v>
      </c>
      <c r="AC27" s="21" t="s">
        <v>135</v>
      </c>
      <c r="AD27" s="22">
        <v>39392</v>
      </c>
      <c r="AE27" s="23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</row>
    <row r="28" spans="1:84" s="2" customFormat="1" x14ac:dyDescent="0.2">
      <c r="A28" s="17" t="s">
        <v>3921</v>
      </c>
      <c r="B28" s="17" t="s">
        <v>45</v>
      </c>
      <c r="C28" s="17">
        <v>2025</v>
      </c>
      <c r="D28" s="17" t="str">
        <f t="array" ref="D28">_xlfn.SWITCH(E28,"Bagor","35.18.14","Sukomoro",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28" s="16" t="s">
        <v>92</v>
      </c>
      <c r="F28" s="17" t="s">
        <v>136</v>
      </c>
      <c r="G28" s="17" t="s">
        <v>137</v>
      </c>
      <c r="H28" s="16" t="s">
        <v>81</v>
      </c>
      <c r="I28" s="16">
        <v>3</v>
      </c>
      <c r="J28" s="16">
        <v>8</v>
      </c>
      <c r="K28" s="16">
        <f t="shared" si="0"/>
        <v>11</v>
      </c>
      <c r="L28" s="18">
        <v>200000000</v>
      </c>
      <c r="M28" s="17" t="s">
        <v>48</v>
      </c>
      <c r="N28" s="18">
        <v>1440</v>
      </c>
      <c r="O28" s="16" t="s">
        <v>51</v>
      </c>
      <c r="P28" s="18">
        <v>15000000000</v>
      </c>
      <c r="Q28" s="19" t="s">
        <v>57</v>
      </c>
      <c r="R28" s="18">
        <v>11750</v>
      </c>
      <c r="S28" s="20" t="s">
        <v>51</v>
      </c>
      <c r="T28" s="18">
        <v>6120000000</v>
      </c>
      <c r="U28" s="20" t="s">
        <v>22</v>
      </c>
      <c r="V28" s="20" t="s">
        <v>52</v>
      </c>
      <c r="W28" s="20">
        <v>900</v>
      </c>
      <c r="X28" s="20" t="s">
        <v>53</v>
      </c>
      <c r="Y28" s="20">
        <v>60</v>
      </c>
      <c r="Z28" s="20">
        <v>40</v>
      </c>
      <c r="AA28" s="20">
        <v>0</v>
      </c>
      <c r="AB28" s="21">
        <v>0</v>
      </c>
      <c r="AC28" s="21"/>
      <c r="AD28" s="22" t="s">
        <v>138</v>
      </c>
      <c r="AE28" s="23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</row>
    <row r="29" spans="1:84" s="2" customFormat="1" x14ac:dyDescent="0.2">
      <c r="A29" s="17" t="s">
        <v>3921</v>
      </c>
      <c r="B29" s="17" t="s">
        <v>45</v>
      </c>
      <c r="C29" s="17">
        <v>2025</v>
      </c>
      <c r="D29" s="17" t="str">
        <f t="array" ref="D29">_xlfn.SWITCH(E29,"Bagor","35.18.14","Sukomoro",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29" s="16" t="s">
        <v>140</v>
      </c>
      <c r="F29" s="17" t="s">
        <v>139</v>
      </c>
      <c r="G29" s="17" t="s">
        <v>141</v>
      </c>
      <c r="H29" s="16" t="s">
        <v>47</v>
      </c>
      <c r="I29" s="16">
        <v>4</v>
      </c>
      <c r="J29" s="16">
        <v>1</v>
      </c>
      <c r="K29" s="16">
        <f t="shared" si="0"/>
        <v>5</v>
      </c>
      <c r="L29" s="18">
        <v>310000000</v>
      </c>
      <c r="M29" s="17" t="s">
        <v>142</v>
      </c>
      <c r="N29" s="18">
        <v>60000</v>
      </c>
      <c r="O29" s="16" t="s">
        <v>143</v>
      </c>
      <c r="P29" s="18">
        <v>1250000000</v>
      </c>
      <c r="Q29" s="19" t="s">
        <v>144</v>
      </c>
      <c r="R29" s="18">
        <v>40000</v>
      </c>
      <c r="S29" s="20" t="s">
        <v>143</v>
      </c>
      <c r="T29" s="18">
        <v>675000000</v>
      </c>
      <c r="U29" s="20" t="s">
        <v>22</v>
      </c>
      <c r="V29" s="20">
        <v>0</v>
      </c>
      <c r="W29" s="20">
        <v>0</v>
      </c>
      <c r="X29" s="20">
        <v>0</v>
      </c>
      <c r="Y29" s="20">
        <v>70</v>
      </c>
      <c r="Z29" s="20">
        <v>30</v>
      </c>
      <c r="AA29" s="20">
        <v>0</v>
      </c>
      <c r="AB29" s="21">
        <v>0</v>
      </c>
      <c r="AC29" s="21"/>
      <c r="AD29" s="22">
        <v>39435</v>
      </c>
      <c r="AE29" s="23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</row>
    <row r="30" spans="1:84" s="2" customFormat="1" x14ac:dyDescent="0.2">
      <c r="A30" s="17" t="s">
        <v>3921</v>
      </c>
      <c r="B30" s="17" t="s">
        <v>45</v>
      </c>
      <c r="C30" s="17">
        <v>2025</v>
      </c>
      <c r="D30" s="17" t="str">
        <f t="array" ref="D30">_xlfn.SWITCH(E30,"Bagor","35.18.14","Sukomoro",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30" s="16" t="s">
        <v>103</v>
      </c>
      <c r="F30" s="17" t="s">
        <v>145</v>
      </c>
      <c r="G30" s="17" t="s">
        <v>146</v>
      </c>
      <c r="H30" s="16" t="s">
        <v>31</v>
      </c>
      <c r="I30" s="16">
        <v>4</v>
      </c>
      <c r="J30" s="16">
        <v>55</v>
      </c>
      <c r="K30" s="16">
        <f t="shared" si="0"/>
        <v>59</v>
      </c>
      <c r="L30" s="18">
        <v>250000000</v>
      </c>
      <c r="M30" s="17" t="s">
        <v>32</v>
      </c>
      <c r="N30" s="18">
        <v>22500000</v>
      </c>
      <c r="O30" s="16" t="s">
        <v>33</v>
      </c>
      <c r="P30" s="18">
        <v>8415000000</v>
      </c>
      <c r="Q30" s="19" t="s">
        <v>34</v>
      </c>
      <c r="R30" s="18">
        <v>2250</v>
      </c>
      <c r="S30" s="20" t="s">
        <v>35</v>
      </c>
      <c r="T30" s="18">
        <v>2033750000</v>
      </c>
      <c r="U30" s="20" t="s">
        <v>22</v>
      </c>
      <c r="V30" s="20">
        <v>0</v>
      </c>
      <c r="W30" s="20">
        <v>0</v>
      </c>
      <c r="X30" s="20">
        <v>0</v>
      </c>
      <c r="Y30" s="20">
        <v>45</v>
      </c>
      <c r="Z30" s="20">
        <v>35</v>
      </c>
      <c r="AA30" s="20">
        <v>20</v>
      </c>
      <c r="AB30" s="21">
        <v>0</v>
      </c>
      <c r="AC30" s="21" t="s">
        <v>147</v>
      </c>
      <c r="AD30" s="22">
        <v>39100</v>
      </c>
      <c r="AE30" s="23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</row>
    <row r="31" spans="1:84" s="2" customFormat="1" x14ac:dyDescent="0.2">
      <c r="A31" s="17" t="s">
        <v>3921</v>
      </c>
      <c r="B31" s="17" t="s">
        <v>45</v>
      </c>
      <c r="C31" s="17">
        <v>2025</v>
      </c>
      <c r="D31" s="17" t="str">
        <f t="array" ref="D31">_xlfn.SWITCH(E31,"Bagor","35.18.14","Sukomoro",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31" s="16" t="s">
        <v>149</v>
      </c>
      <c r="F31" s="17" t="s">
        <v>148</v>
      </c>
      <c r="G31" s="17" t="s">
        <v>150</v>
      </c>
      <c r="H31" s="16" t="s">
        <v>31</v>
      </c>
      <c r="I31" s="16">
        <v>3</v>
      </c>
      <c r="J31" s="16">
        <v>6</v>
      </c>
      <c r="K31" s="16">
        <f t="shared" si="0"/>
        <v>9</v>
      </c>
      <c r="L31" s="18">
        <v>10000000</v>
      </c>
      <c r="M31" s="17" t="s">
        <v>151</v>
      </c>
      <c r="N31" s="18">
        <v>17500</v>
      </c>
      <c r="O31" s="16" t="s">
        <v>152</v>
      </c>
      <c r="P31" s="18">
        <v>437500000</v>
      </c>
      <c r="Q31" s="19" t="s">
        <v>153</v>
      </c>
      <c r="R31" s="18">
        <v>3000</v>
      </c>
      <c r="S31" s="20" t="s">
        <v>35</v>
      </c>
      <c r="T31" s="18">
        <v>185000000</v>
      </c>
      <c r="U31" s="20" t="s">
        <v>22</v>
      </c>
      <c r="V31" s="20">
        <v>0</v>
      </c>
      <c r="W31" s="20">
        <v>0</v>
      </c>
      <c r="X31" s="20">
        <v>0</v>
      </c>
      <c r="Y31" s="20">
        <v>55</v>
      </c>
      <c r="Z31" s="20">
        <v>45</v>
      </c>
      <c r="AA31" s="20">
        <v>0</v>
      </c>
      <c r="AB31" s="21">
        <v>0</v>
      </c>
      <c r="AC31" s="21"/>
      <c r="AD31" s="22">
        <v>39155</v>
      </c>
      <c r="AE31" s="23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</row>
    <row r="32" spans="1:84" s="2" customFormat="1" x14ac:dyDescent="0.2">
      <c r="A32" s="17" t="s">
        <v>3921</v>
      </c>
      <c r="B32" s="17" t="s">
        <v>45</v>
      </c>
      <c r="C32" s="17">
        <v>2025</v>
      </c>
      <c r="D32" s="17" t="str">
        <f t="array" ref="D32">_xlfn.SWITCH(E32,"Bagor","35.18.14","Sukomoro",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" s="16" t="s">
        <v>114</v>
      </c>
      <c r="F32" s="17" t="s">
        <v>154</v>
      </c>
      <c r="G32" s="17" t="s">
        <v>155</v>
      </c>
      <c r="H32" s="16" t="s">
        <v>47</v>
      </c>
      <c r="I32" s="16">
        <v>1</v>
      </c>
      <c r="J32" s="16">
        <v>8</v>
      </c>
      <c r="K32" s="16">
        <f t="shared" si="0"/>
        <v>9</v>
      </c>
      <c r="L32" s="18">
        <v>75000000</v>
      </c>
      <c r="M32" s="17" t="s">
        <v>72</v>
      </c>
      <c r="N32" s="18">
        <v>27</v>
      </c>
      <c r="O32" s="16" t="s">
        <v>51</v>
      </c>
      <c r="P32" s="18">
        <v>117000000</v>
      </c>
      <c r="Q32" s="19" t="s">
        <v>57</v>
      </c>
      <c r="R32" s="18">
        <v>30</v>
      </c>
      <c r="S32" s="20" t="s">
        <v>51</v>
      </c>
      <c r="T32" s="18">
        <v>52500000</v>
      </c>
      <c r="U32" s="20" t="s">
        <v>22</v>
      </c>
      <c r="V32" s="20">
        <v>0</v>
      </c>
      <c r="W32" s="20">
        <v>0</v>
      </c>
      <c r="X32" s="20">
        <v>0</v>
      </c>
      <c r="Y32" s="20">
        <v>60</v>
      </c>
      <c r="Z32" s="20">
        <v>40</v>
      </c>
      <c r="AA32" s="20">
        <v>0</v>
      </c>
      <c r="AB32" s="21">
        <v>0</v>
      </c>
      <c r="AC32" s="21"/>
      <c r="AD32" s="22">
        <v>39169</v>
      </c>
      <c r="AE32" s="23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</row>
    <row r="33" spans="1:84" s="2" customFormat="1" x14ac:dyDescent="0.2">
      <c r="A33" s="17" t="s">
        <v>3921</v>
      </c>
      <c r="B33" s="17" t="s">
        <v>45</v>
      </c>
      <c r="C33" s="17">
        <v>2025</v>
      </c>
      <c r="D33" s="17" t="str">
        <f t="array" ref="D33">_xlfn.SWITCH(E33,"Bagor","35.18.14","Sukomoro",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33" s="16" t="s">
        <v>157</v>
      </c>
      <c r="F33" s="17" t="s">
        <v>156</v>
      </c>
      <c r="G33" s="17" t="s">
        <v>158</v>
      </c>
      <c r="H33" s="16" t="s">
        <v>47</v>
      </c>
      <c r="I33" s="16">
        <v>20</v>
      </c>
      <c r="J33" s="16">
        <v>9</v>
      </c>
      <c r="K33" s="16">
        <f t="shared" si="0"/>
        <v>29</v>
      </c>
      <c r="L33" s="18">
        <v>20000000</v>
      </c>
      <c r="M33" s="17" t="s">
        <v>159</v>
      </c>
      <c r="N33" s="18">
        <v>720</v>
      </c>
      <c r="O33" s="16" t="s">
        <v>83</v>
      </c>
      <c r="P33" s="18">
        <v>5760000000</v>
      </c>
      <c r="Q33" s="28" t="s">
        <v>160</v>
      </c>
      <c r="R33" s="18">
        <v>1250</v>
      </c>
      <c r="S33" s="20" t="s">
        <v>83</v>
      </c>
      <c r="T33" s="18">
        <v>2812500000</v>
      </c>
      <c r="U33" s="20" t="s">
        <v>22</v>
      </c>
      <c r="V33" s="20">
        <v>0</v>
      </c>
      <c r="W33" s="20">
        <v>0</v>
      </c>
      <c r="X33" s="20">
        <v>0</v>
      </c>
      <c r="Y33" s="20">
        <v>50</v>
      </c>
      <c r="Z33" s="20">
        <v>30</v>
      </c>
      <c r="AA33" s="20">
        <v>20</v>
      </c>
      <c r="AB33" s="21">
        <v>0</v>
      </c>
      <c r="AC33" s="21"/>
      <c r="AD33" s="22">
        <v>39132</v>
      </c>
      <c r="AE33" s="23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</row>
    <row r="34" spans="1:84" s="2" customFormat="1" x14ac:dyDescent="0.2">
      <c r="A34" s="17" t="s">
        <v>3921</v>
      </c>
      <c r="B34" s="17" t="s">
        <v>45</v>
      </c>
      <c r="C34" s="17">
        <v>2025</v>
      </c>
      <c r="D34" s="17" t="str">
        <f t="array" ref="D34">_xlfn.SWITCH(E34,"Bagor","35.18.14","Sukomoro",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4" s="16" t="s">
        <v>162</v>
      </c>
      <c r="F34" s="17" t="s">
        <v>161</v>
      </c>
      <c r="G34" s="17" t="s">
        <v>163</v>
      </c>
      <c r="H34" s="16" t="s">
        <v>47</v>
      </c>
      <c r="I34" s="16">
        <v>3</v>
      </c>
      <c r="J34" s="20">
        <v>0</v>
      </c>
      <c r="K34" s="16">
        <f t="shared" si="0"/>
        <v>3</v>
      </c>
      <c r="L34" s="18">
        <v>40000000</v>
      </c>
      <c r="M34" s="17" t="s">
        <v>159</v>
      </c>
      <c r="N34" s="18">
        <v>250</v>
      </c>
      <c r="O34" s="16" t="s">
        <v>83</v>
      </c>
      <c r="P34" s="18">
        <v>2250000000</v>
      </c>
      <c r="Q34" s="19" t="s">
        <v>160</v>
      </c>
      <c r="R34" s="18">
        <v>400</v>
      </c>
      <c r="S34" s="20" t="s">
        <v>83</v>
      </c>
      <c r="T34" s="18">
        <v>940000000</v>
      </c>
      <c r="U34" s="20" t="s">
        <v>22</v>
      </c>
      <c r="V34" s="20" t="s">
        <v>52</v>
      </c>
      <c r="W34" s="20">
        <v>500</v>
      </c>
      <c r="X34" s="20" t="s">
        <v>53</v>
      </c>
      <c r="Y34" s="20">
        <v>75</v>
      </c>
      <c r="Z34" s="20">
        <v>25</v>
      </c>
      <c r="AA34" s="20">
        <v>0</v>
      </c>
      <c r="AB34" s="21">
        <v>0</v>
      </c>
      <c r="AC34" s="21" t="s">
        <v>164</v>
      </c>
      <c r="AD34" s="22">
        <v>38902</v>
      </c>
      <c r="AE34" s="23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</row>
    <row r="35" spans="1:84" s="2" customFormat="1" x14ac:dyDescent="0.2">
      <c r="A35" s="17" t="s">
        <v>3921</v>
      </c>
      <c r="B35" s="17" t="s">
        <v>45</v>
      </c>
      <c r="C35" s="17">
        <v>2025</v>
      </c>
      <c r="D35" s="17" t="str">
        <f t="array" ref="D35">_xlfn.SWITCH(E35,"Bagor","35.18.14","Sukomoro",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35" s="16" t="s">
        <v>149</v>
      </c>
      <c r="F35" s="17" t="s">
        <v>165</v>
      </c>
      <c r="G35" s="17" t="s">
        <v>166</v>
      </c>
      <c r="H35" s="16" t="s">
        <v>47</v>
      </c>
      <c r="I35" s="16">
        <v>5</v>
      </c>
      <c r="J35" s="20">
        <v>6</v>
      </c>
      <c r="K35" s="16">
        <f t="shared" si="0"/>
        <v>11</v>
      </c>
      <c r="L35" s="18">
        <v>30000000</v>
      </c>
      <c r="M35" s="17" t="s">
        <v>167</v>
      </c>
      <c r="N35" s="29">
        <v>4.5</v>
      </c>
      <c r="O35" s="16" t="s">
        <v>83</v>
      </c>
      <c r="P35" s="30">
        <v>28000000</v>
      </c>
      <c r="Q35" s="17" t="s">
        <v>168</v>
      </c>
      <c r="R35" s="18">
        <v>25000</v>
      </c>
      <c r="S35" s="16" t="s">
        <v>143</v>
      </c>
      <c r="T35" s="30">
        <v>15150000</v>
      </c>
      <c r="U35" s="20" t="s">
        <v>22</v>
      </c>
      <c r="V35" s="16" t="s">
        <v>57</v>
      </c>
      <c r="W35" s="16">
        <v>600</v>
      </c>
      <c r="X35" s="16" t="s">
        <v>51</v>
      </c>
      <c r="Y35" s="16">
        <v>60</v>
      </c>
      <c r="Z35" s="16">
        <v>40</v>
      </c>
      <c r="AA35" s="16">
        <v>0</v>
      </c>
      <c r="AB35" s="16">
        <v>0</v>
      </c>
      <c r="AC35" s="16" t="s">
        <v>169</v>
      </c>
      <c r="AD35" s="22">
        <v>38982</v>
      </c>
      <c r="AE35" s="23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</row>
    <row r="36" spans="1:84" s="2" customFormat="1" x14ac:dyDescent="0.2">
      <c r="A36" s="17" t="s">
        <v>3921</v>
      </c>
      <c r="B36" s="17" t="s">
        <v>45</v>
      </c>
      <c r="C36" s="17">
        <v>2025</v>
      </c>
      <c r="D36" s="17" t="str">
        <f t="array" ref="D36">_xlfn.SWITCH(E36,"Jatikalen","35.18.20","Kertosono", "35.18.08","Lengkong","35.18.19","Loceret","35.18.04","Tanjunganom","35.18.11","Wilangan","35.18.15")</f>
        <v>35.18.11</v>
      </c>
      <c r="E36" s="16" t="s">
        <v>60</v>
      </c>
      <c r="F36" s="17" t="s">
        <v>170</v>
      </c>
      <c r="G36" s="17" t="s">
        <v>171</v>
      </c>
      <c r="H36" s="16" t="s">
        <v>47</v>
      </c>
      <c r="I36" s="16">
        <v>6</v>
      </c>
      <c r="J36" s="20">
        <v>5</v>
      </c>
      <c r="K36" s="16">
        <f t="shared" si="0"/>
        <v>11</v>
      </c>
      <c r="L36" s="18">
        <v>122000000</v>
      </c>
      <c r="M36" s="17" t="s">
        <v>172</v>
      </c>
      <c r="N36" s="29">
        <v>19.2</v>
      </c>
      <c r="O36" s="16" t="s">
        <v>83</v>
      </c>
      <c r="P36" s="30">
        <v>78650000</v>
      </c>
      <c r="Q36" s="17" t="s">
        <v>173</v>
      </c>
      <c r="R36" s="29">
        <v>7.7</v>
      </c>
      <c r="S36" s="16" t="s">
        <v>83</v>
      </c>
      <c r="T36" s="30">
        <f>6500*6300</f>
        <v>40950000</v>
      </c>
      <c r="U36" s="20" t="s">
        <v>22</v>
      </c>
      <c r="V36" s="16" t="s">
        <v>57</v>
      </c>
      <c r="W36" s="16">
        <v>600</v>
      </c>
      <c r="X36" s="16" t="s">
        <v>51</v>
      </c>
      <c r="Y36" s="16">
        <v>100</v>
      </c>
      <c r="Z36" s="16">
        <v>0</v>
      </c>
      <c r="AA36" s="16">
        <v>0</v>
      </c>
      <c r="AB36" s="16">
        <v>0</v>
      </c>
      <c r="AC36" s="16" t="s">
        <v>174</v>
      </c>
      <c r="AD36" s="22">
        <v>38929</v>
      </c>
      <c r="AE36" s="23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</row>
    <row r="37" spans="1:84" s="2" customFormat="1" x14ac:dyDescent="0.2">
      <c r="A37" s="17" t="s">
        <v>3921</v>
      </c>
      <c r="B37" s="17" t="s">
        <v>45</v>
      </c>
      <c r="C37" s="17">
        <v>2025</v>
      </c>
      <c r="D37" s="17" t="str">
        <f t="array" ref="D37">_xlfn.SWITCH(E37,"Bagor","35.18.14","Sukomoro",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37" s="16" t="s">
        <v>29</v>
      </c>
      <c r="F37" s="17" t="s">
        <v>175</v>
      </c>
      <c r="G37" s="17" t="s">
        <v>176</v>
      </c>
      <c r="H37" s="16" t="s">
        <v>47</v>
      </c>
      <c r="I37" s="16">
        <v>6</v>
      </c>
      <c r="J37" s="20">
        <v>2</v>
      </c>
      <c r="K37" s="16">
        <f t="shared" si="0"/>
        <v>8</v>
      </c>
      <c r="L37" s="18">
        <v>101100000</v>
      </c>
      <c r="M37" s="17" t="s">
        <v>172</v>
      </c>
      <c r="N37" s="29">
        <v>7.5</v>
      </c>
      <c r="O37" s="16" t="s">
        <v>83</v>
      </c>
      <c r="P37" s="30">
        <v>29000000</v>
      </c>
      <c r="Q37" s="17" t="s">
        <v>173</v>
      </c>
      <c r="R37" s="18">
        <v>3</v>
      </c>
      <c r="S37" s="16" t="s">
        <v>83</v>
      </c>
      <c r="T37" s="30">
        <v>13300000</v>
      </c>
      <c r="U37" s="20" t="s">
        <v>22</v>
      </c>
      <c r="V37" s="16" t="s">
        <v>57</v>
      </c>
      <c r="W37" s="16">
        <v>400</v>
      </c>
      <c r="X37" s="16" t="s">
        <v>51</v>
      </c>
      <c r="Y37" s="16">
        <v>100</v>
      </c>
      <c r="Z37" s="16">
        <v>0</v>
      </c>
      <c r="AA37" s="16">
        <v>0</v>
      </c>
      <c r="AB37" s="16">
        <v>0</v>
      </c>
      <c r="AC37" s="16" t="s">
        <v>177</v>
      </c>
      <c r="AD37" s="22">
        <v>39001</v>
      </c>
      <c r="AE37" s="23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</row>
    <row r="38" spans="1:84" s="2" customFormat="1" x14ac:dyDescent="0.2">
      <c r="A38" s="17" t="s">
        <v>3921</v>
      </c>
      <c r="B38" s="17" t="s">
        <v>45</v>
      </c>
      <c r="C38" s="17">
        <v>2025</v>
      </c>
      <c r="D38" s="17" t="str">
        <f t="array" ref="D38">_xlfn.SWITCH(E38,"Bagor","35.18.14","Sukomoro",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8" s="16" t="s">
        <v>162</v>
      </c>
      <c r="F38" s="17" t="s">
        <v>178</v>
      </c>
      <c r="G38" s="17" t="s">
        <v>179</v>
      </c>
      <c r="H38" s="16" t="s">
        <v>47</v>
      </c>
      <c r="I38" s="16">
        <v>5</v>
      </c>
      <c r="J38" s="20">
        <v>6</v>
      </c>
      <c r="K38" s="16">
        <f t="shared" si="0"/>
        <v>11</v>
      </c>
      <c r="L38" s="18">
        <v>50000000</v>
      </c>
      <c r="M38" s="17" t="s">
        <v>180</v>
      </c>
      <c r="N38" s="18">
        <v>30</v>
      </c>
      <c r="O38" s="16" t="s">
        <v>83</v>
      </c>
      <c r="P38" s="30">
        <f>30000*6500</f>
        <v>195000000</v>
      </c>
      <c r="Q38" s="17" t="s">
        <v>159</v>
      </c>
      <c r="R38" s="18">
        <v>10</v>
      </c>
      <c r="S38" s="16" t="s">
        <v>83</v>
      </c>
      <c r="T38" s="30">
        <v>97000000</v>
      </c>
      <c r="U38" s="20" t="s">
        <v>22</v>
      </c>
      <c r="V38" s="16" t="s">
        <v>57</v>
      </c>
      <c r="W38" s="16">
        <v>750</v>
      </c>
      <c r="X38" s="16" t="s">
        <v>51</v>
      </c>
      <c r="Y38" s="16">
        <v>75</v>
      </c>
      <c r="Z38" s="16">
        <v>25</v>
      </c>
      <c r="AA38" s="16">
        <v>0</v>
      </c>
      <c r="AB38" s="16">
        <v>0</v>
      </c>
      <c r="AC38" s="16" t="s">
        <v>181</v>
      </c>
      <c r="AD38" s="22">
        <v>38902</v>
      </c>
      <c r="AE38" s="23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</row>
    <row r="39" spans="1:84" s="2" customFormat="1" x14ac:dyDescent="0.2">
      <c r="A39" s="17" t="s">
        <v>3921</v>
      </c>
      <c r="B39" s="17" t="s">
        <v>45</v>
      </c>
      <c r="C39" s="17">
        <v>2025</v>
      </c>
      <c r="D39" s="17" t="str">
        <f t="array" ref="D39">_xlfn.SWITCH(E39,"Bagor","35.18.14","Sukomoro",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39" s="16" t="s">
        <v>124</v>
      </c>
      <c r="F39" s="17" t="s">
        <v>124</v>
      </c>
      <c r="G39" s="17" t="s">
        <v>182</v>
      </c>
      <c r="H39" s="16" t="s">
        <v>47</v>
      </c>
      <c r="I39" s="16">
        <v>6</v>
      </c>
      <c r="J39" s="20">
        <v>0</v>
      </c>
      <c r="K39" s="16">
        <f t="shared" si="0"/>
        <v>6</v>
      </c>
      <c r="L39" s="18">
        <v>10000000</v>
      </c>
      <c r="M39" s="17" t="s">
        <v>183</v>
      </c>
      <c r="N39" s="18">
        <v>24</v>
      </c>
      <c r="O39" s="16" t="s">
        <v>184</v>
      </c>
      <c r="P39" s="30">
        <v>12000000</v>
      </c>
      <c r="Q39" s="17" t="s">
        <v>185</v>
      </c>
      <c r="R39" s="18">
        <v>75</v>
      </c>
      <c r="S39" s="16" t="s">
        <v>184</v>
      </c>
      <c r="T39" s="30">
        <v>6500000</v>
      </c>
      <c r="U39" s="20" t="s">
        <v>22</v>
      </c>
      <c r="V39" s="16" t="s">
        <v>50</v>
      </c>
      <c r="W39" s="16">
        <v>300</v>
      </c>
      <c r="X39" s="16" t="s">
        <v>51</v>
      </c>
      <c r="Y39" s="16">
        <v>100</v>
      </c>
      <c r="Z39" s="16">
        <v>0</v>
      </c>
      <c r="AA39" s="16">
        <v>0</v>
      </c>
      <c r="AB39" s="16">
        <v>0</v>
      </c>
      <c r="AC39" s="16" t="s">
        <v>186</v>
      </c>
      <c r="AD39" s="22">
        <v>38904</v>
      </c>
      <c r="AE39" s="23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</row>
    <row r="40" spans="1:84" s="2" customFormat="1" x14ac:dyDescent="0.2">
      <c r="A40" s="17" t="s">
        <v>3921</v>
      </c>
      <c r="B40" s="17" t="s">
        <v>45</v>
      </c>
      <c r="C40" s="17">
        <v>2025</v>
      </c>
      <c r="D40" s="17" t="str">
        <f t="array" ref="D40">_xlfn.SWITCH(E40,"Bagor","35.18.14","Sukomoro",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40" s="16" t="s">
        <v>188</v>
      </c>
      <c r="F40" s="17" t="s">
        <v>187</v>
      </c>
      <c r="G40" s="17" t="s">
        <v>189</v>
      </c>
      <c r="H40" s="16" t="s">
        <v>47</v>
      </c>
      <c r="I40" s="16">
        <v>6</v>
      </c>
      <c r="J40" s="20">
        <v>10</v>
      </c>
      <c r="K40" s="16">
        <f t="shared" si="0"/>
        <v>16</v>
      </c>
      <c r="L40" s="18">
        <v>60000000</v>
      </c>
      <c r="M40" s="17" t="s">
        <v>190</v>
      </c>
      <c r="N40" s="18">
        <v>12</v>
      </c>
      <c r="O40" s="16" t="s">
        <v>83</v>
      </c>
      <c r="P40" s="30">
        <v>53500000</v>
      </c>
      <c r="Q40" s="17" t="s">
        <v>191</v>
      </c>
      <c r="R40" s="18">
        <v>11</v>
      </c>
      <c r="S40" s="16" t="s">
        <v>83</v>
      </c>
      <c r="T40" s="30">
        <f>11000*2300</f>
        <v>25300000</v>
      </c>
      <c r="U40" s="20" t="s">
        <v>22</v>
      </c>
      <c r="V40" s="16" t="s">
        <v>57</v>
      </c>
      <c r="W40" s="16">
        <v>550</v>
      </c>
      <c r="X40" s="16" t="s">
        <v>51</v>
      </c>
      <c r="Y40" s="16">
        <v>60</v>
      </c>
      <c r="Z40" s="16">
        <v>40</v>
      </c>
      <c r="AA40" s="16">
        <v>0</v>
      </c>
      <c r="AB40" s="16">
        <v>0</v>
      </c>
      <c r="AC40" s="16" t="s">
        <v>192</v>
      </c>
      <c r="AD40" s="22">
        <v>38982</v>
      </c>
      <c r="AE40" s="23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</row>
    <row r="41" spans="1:84" s="2" customFormat="1" x14ac:dyDescent="0.2">
      <c r="A41" s="17" t="s">
        <v>3921</v>
      </c>
      <c r="B41" s="17" t="s">
        <v>45</v>
      </c>
      <c r="C41" s="17">
        <v>2025</v>
      </c>
      <c r="D41" s="17" t="str">
        <f t="array" ref="D41">_xlfn.SWITCH(E41,"Jatikalen","35.18.20","Kertosono", "35.18.08","Lengkong","35.18.19","Loceret","35.18.04","Tanjunganom","35.18.11","Wilangan","35.18.15")</f>
        <v>35.18.11</v>
      </c>
      <c r="E41" s="16" t="s">
        <v>60</v>
      </c>
      <c r="F41" s="17" t="s">
        <v>170</v>
      </c>
      <c r="G41" s="17" t="s">
        <v>193</v>
      </c>
      <c r="H41" s="16" t="s">
        <v>31</v>
      </c>
      <c r="I41" s="16">
        <v>2</v>
      </c>
      <c r="J41" s="20">
        <v>6</v>
      </c>
      <c r="K41" s="16">
        <f t="shared" si="0"/>
        <v>8</v>
      </c>
      <c r="L41" s="18">
        <v>25000000</v>
      </c>
      <c r="M41" s="17" t="s">
        <v>32</v>
      </c>
      <c r="N41" s="18">
        <v>2500000</v>
      </c>
      <c r="O41" s="16" t="s">
        <v>194</v>
      </c>
      <c r="P41" s="30">
        <v>935000000</v>
      </c>
      <c r="Q41" s="17" t="s">
        <v>34</v>
      </c>
      <c r="R41" s="18">
        <v>250</v>
      </c>
      <c r="S41" s="16" t="s">
        <v>35</v>
      </c>
      <c r="T41" s="30">
        <v>210064000</v>
      </c>
      <c r="U41" s="20" t="s">
        <v>22</v>
      </c>
      <c r="V41" s="16">
        <v>0</v>
      </c>
      <c r="W41" s="16">
        <v>0</v>
      </c>
      <c r="X41" s="16">
        <v>0</v>
      </c>
      <c r="Y41" s="16">
        <v>40</v>
      </c>
      <c r="Z41" s="16">
        <v>40</v>
      </c>
      <c r="AA41" s="16">
        <v>20</v>
      </c>
      <c r="AB41" s="16">
        <v>0</v>
      </c>
      <c r="AC41" s="16" t="s">
        <v>195</v>
      </c>
      <c r="AD41" s="22">
        <v>38726</v>
      </c>
      <c r="AE41" s="23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</row>
    <row r="42" spans="1:84" s="2" customFormat="1" x14ac:dyDescent="0.2">
      <c r="A42" s="17" t="s">
        <v>3921</v>
      </c>
      <c r="B42" s="17" t="s">
        <v>45</v>
      </c>
      <c r="C42" s="17">
        <v>2025</v>
      </c>
      <c r="D42" s="17" t="str">
        <f t="array" ref="D42">_xlfn.SWITCH(E42,"Bagor","35.18.14","Sukomoro",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2" s="16" t="s">
        <v>29</v>
      </c>
      <c r="F42" s="17" t="s">
        <v>196</v>
      </c>
      <c r="G42" s="17" t="s">
        <v>197</v>
      </c>
      <c r="H42" s="16" t="s">
        <v>31</v>
      </c>
      <c r="I42" s="16">
        <v>2</v>
      </c>
      <c r="J42" s="20">
        <v>10</v>
      </c>
      <c r="K42" s="16">
        <f t="shared" si="0"/>
        <v>12</v>
      </c>
      <c r="L42" s="18">
        <v>15000000</v>
      </c>
      <c r="M42" s="17" t="s">
        <v>32</v>
      </c>
      <c r="N42" s="18">
        <v>2088000</v>
      </c>
      <c r="O42" s="16" t="s">
        <v>194</v>
      </c>
      <c r="P42" s="30">
        <v>780912000</v>
      </c>
      <c r="Q42" s="17" t="s">
        <v>34</v>
      </c>
      <c r="R42" s="18">
        <v>210</v>
      </c>
      <c r="S42" s="16" t="s">
        <v>35</v>
      </c>
      <c r="T42" s="30">
        <v>208426000</v>
      </c>
      <c r="U42" s="20" t="s">
        <v>22</v>
      </c>
      <c r="V42" s="16">
        <v>0</v>
      </c>
      <c r="W42" s="16">
        <v>0</v>
      </c>
      <c r="X42" s="16">
        <v>0</v>
      </c>
      <c r="Y42" s="16">
        <v>30</v>
      </c>
      <c r="Z42" s="16">
        <v>40</v>
      </c>
      <c r="AA42" s="16">
        <v>30</v>
      </c>
      <c r="AB42" s="16">
        <v>0</v>
      </c>
      <c r="AC42" s="16" t="s">
        <v>198</v>
      </c>
      <c r="AD42" s="22">
        <v>38743</v>
      </c>
      <c r="AE42" s="23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</row>
    <row r="43" spans="1:84" s="2" customFormat="1" x14ac:dyDescent="0.2">
      <c r="A43" s="17" t="s">
        <v>3921</v>
      </c>
      <c r="B43" s="17" t="s">
        <v>45</v>
      </c>
      <c r="C43" s="17">
        <v>2025</v>
      </c>
      <c r="D43" s="17" t="str">
        <f t="array" ref="D43">_xlfn.SWITCH(E43,"Jatikalen","35.18.20","Kertosono", "35.18.08","Lengkong","35.18.19","Loceret","35.18.04","Tanjunganom","35.18.11","Wilangan","35.18.15")</f>
        <v>35.18.11</v>
      </c>
      <c r="E43" s="16" t="s">
        <v>60</v>
      </c>
      <c r="F43" s="17" t="s">
        <v>199</v>
      </c>
      <c r="G43" s="17" t="s">
        <v>200</v>
      </c>
      <c r="H43" s="16" t="s">
        <v>31</v>
      </c>
      <c r="I43" s="16">
        <v>5</v>
      </c>
      <c r="J43" s="20">
        <v>10</v>
      </c>
      <c r="K43" s="16">
        <f t="shared" si="0"/>
        <v>15</v>
      </c>
      <c r="L43" s="18">
        <v>35000000</v>
      </c>
      <c r="M43" s="17" t="s">
        <v>32</v>
      </c>
      <c r="N43" s="18">
        <v>2400000</v>
      </c>
      <c r="O43" s="16" t="s">
        <v>194</v>
      </c>
      <c r="P43" s="30">
        <f>N43*250</f>
        <v>600000000</v>
      </c>
      <c r="Q43" s="17" t="s">
        <v>34</v>
      </c>
      <c r="R43" s="18">
        <v>240</v>
      </c>
      <c r="S43" s="16" t="s">
        <v>35</v>
      </c>
      <c r="T43" s="30">
        <v>220000000</v>
      </c>
      <c r="U43" s="20" t="s">
        <v>22</v>
      </c>
      <c r="V43" s="16">
        <v>0</v>
      </c>
      <c r="W43" s="16">
        <v>0</v>
      </c>
      <c r="X43" s="16">
        <v>0</v>
      </c>
      <c r="Y43" s="16">
        <v>30</v>
      </c>
      <c r="Z43" s="16">
        <v>40</v>
      </c>
      <c r="AA43" s="16">
        <v>30</v>
      </c>
      <c r="AB43" s="16">
        <v>0</v>
      </c>
      <c r="AC43" s="26" t="s">
        <v>201</v>
      </c>
      <c r="AD43" s="27" t="s">
        <v>202</v>
      </c>
      <c r="AE43" s="23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</row>
    <row r="44" spans="1:84" s="2" customFormat="1" x14ac:dyDescent="0.2">
      <c r="A44" s="17" t="s">
        <v>3921</v>
      </c>
      <c r="B44" s="17" t="s">
        <v>45</v>
      </c>
      <c r="C44" s="17">
        <v>2025</v>
      </c>
      <c r="D44" s="17" t="str">
        <f t="array" ref="D44">_xlfn.SWITCH(E44,"Bagor","35.18.14","Sukomoro",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4" s="16" t="s">
        <v>103</v>
      </c>
      <c r="F44" s="17" t="s">
        <v>203</v>
      </c>
      <c r="G44" s="17" t="s">
        <v>204</v>
      </c>
      <c r="H44" s="16" t="s">
        <v>31</v>
      </c>
      <c r="I44" s="16">
        <v>2</v>
      </c>
      <c r="J44" s="20">
        <v>8</v>
      </c>
      <c r="K44" s="16">
        <f t="shared" si="0"/>
        <v>10</v>
      </c>
      <c r="L44" s="18">
        <v>35685000</v>
      </c>
      <c r="M44" s="17" t="s">
        <v>32</v>
      </c>
      <c r="N44" s="18">
        <v>2400000</v>
      </c>
      <c r="O44" s="16" t="s">
        <v>194</v>
      </c>
      <c r="P44" s="30">
        <v>897600000</v>
      </c>
      <c r="Q44" s="17" t="s">
        <v>34</v>
      </c>
      <c r="R44" s="18">
        <v>250</v>
      </c>
      <c r="S44" s="16" t="s">
        <v>35</v>
      </c>
      <c r="T44" s="30">
        <v>279851000</v>
      </c>
      <c r="U44" s="20" t="s">
        <v>22</v>
      </c>
      <c r="V44" s="16">
        <v>0</v>
      </c>
      <c r="W44" s="16">
        <v>0</v>
      </c>
      <c r="X44" s="16">
        <v>0</v>
      </c>
      <c r="Y44" s="16">
        <v>50</v>
      </c>
      <c r="Z44" s="16">
        <v>40</v>
      </c>
      <c r="AA44" s="16">
        <v>10</v>
      </c>
      <c r="AB44" s="16">
        <v>0</v>
      </c>
      <c r="AC44" s="16" t="s">
        <v>205</v>
      </c>
      <c r="AD44" s="22">
        <v>38792</v>
      </c>
      <c r="AE44" s="23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</row>
    <row r="45" spans="1:84" s="2" customFormat="1" x14ac:dyDescent="0.2">
      <c r="A45" s="17" t="s">
        <v>3921</v>
      </c>
      <c r="B45" s="17" t="s">
        <v>45</v>
      </c>
      <c r="C45" s="17">
        <v>2025</v>
      </c>
      <c r="D45" s="17" t="str">
        <f t="array" ref="D45">_xlfn.SWITCH(E45,"Bagor","35.18.14","Sukomoro",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5" s="16" t="s">
        <v>45</v>
      </c>
      <c r="F45" s="17" t="s">
        <v>206</v>
      </c>
      <c r="G45" s="17" t="s">
        <v>207</v>
      </c>
      <c r="H45" s="16" t="s">
        <v>31</v>
      </c>
      <c r="I45" s="16">
        <v>2</v>
      </c>
      <c r="J45" s="20">
        <v>5</v>
      </c>
      <c r="K45" s="16">
        <f t="shared" si="0"/>
        <v>7</v>
      </c>
      <c r="L45" s="18">
        <v>35000000</v>
      </c>
      <c r="M45" s="17" t="s">
        <v>32</v>
      </c>
      <c r="N45" s="18">
        <v>2400000</v>
      </c>
      <c r="O45" s="16" t="s">
        <v>194</v>
      </c>
      <c r="P45" s="30">
        <v>897600000</v>
      </c>
      <c r="Q45" s="17" t="s">
        <v>34</v>
      </c>
      <c r="R45" s="18">
        <v>240</v>
      </c>
      <c r="S45" s="16" t="s">
        <v>35</v>
      </c>
      <c r="T45" s="30">
        <v>229626000</v>
      </c>
      <c r="U45" s="20" t="s">
        <v>22</v>
      </c>
      <c r="V45" s="16">
        <v>0</v>
      </c>
      <c r="W45" s="16">
        <v>0</v>
      </c>
      <c r="X45" s="16">
        <v>0</v>
      </c>
      <c r="Y45" s="16">
        <v>30</v>
      </c>
      <c r="Z45" s="16">
        <v>30</v>
      </c>
      <c r="AA45" s="16">
        <v>40</v>
      </c>
      <c r="AB45" s="16">
        <v>0</v>
      </c>
      <c r="AC45" s="16" t="s">
        <v>208</v>
      </c>
      <c r="AD45" s="22">
        <v>38840</v>
      </c>
      <c r="AE45" s="23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</row>
    <row r="46" spans="1:84" s="2" customFormat="1" x14ac:dyDescent="0.2">
      <c r="A46" s="17" t="s">
        <v>3921</v>
      </c>
      <c r="B46" s="17" t="s">
        <v>45</v>
      </c>
      <c r="C46" s="17">
        <v>2025</v>
      </c>
      <c r="D46" s="17" t="str">
        <f t="array" ref="D46">_xlfn.SWITCH(E46,"Bagor","35.18.14","Sukomoro",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6" s="16" t="s">
        <v>103</v>
      </c>
      <c r="F46" s="17" t="s">
        <v>209</v>
      </c>
      <c r="G46" s="17" t="s">
        <v>210</v>
      </c>
      <c r="H46" s="16" t="s">
        <v>47</v>
      </c>
      <c r="I46" s="16">
        <v>3</v>
      </c>
      <c r="J46" s="20">
        <v>15</v>
      </c>
      <c r="K46" s="16">
        <f t="shared" si="0"/>
        <v>18</v>
      </c>
      <c r="L46" s="18">
        <v>55685000</v>
      </c>
      <c r="M46" s="17" t="s">
        <v>108</v>
      </c>
      <c r="N46" s="18">
        <v>170</v>
      </c>
      <c r="O46" s="16" t="s">
        <v>211</v>
      </c>
      <c r="P46" s="30">
        <v>810000000</v>
      </c>
      <c r="Q46" s="17" t="s">
        <v>212</v>
      </c>
      <c r="R46" s="18">
        <v>50</v>
      </c>
      <c r="S46" s="16" t="s">
        <v>51</v>
      </c>
      <c r="T46" s="30">
        <v>270000000</v>
      </c>
      <c r="U46" s="20" t="s">
        <v>22</v>
      </c>
      <c r="V46" s="16">
        <v>0</v>
      </c>
      <c r="W46" s="16">
        <v>0</v>
      </c>
      <c r="X46" s="16">
        <v>0</v>
      </c>
      <c r="Y46" s="16">
        <v>30</v>
      </c>
      <c r="Z46" s="16">
        <v>40</v>
      </c>
      <c r="AA46" s="16">
        <v>30</v>
      </c>
      <c r="AB46" s="16">
        <v>0</v>
      </c>
      <c r="AC46" s="16"/>
      <c r="AD46" s="24">
        <v>2006</v>
      </c>
      <c r="AE46" s="23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</row>
    <row r="47" spans="1:84" s="2" customFormat="1" x14ac:dyDescent="0.2">
      <c r="A47" s="17" t="s">
        <v>3921</v>
      </c>
      <c r="B47" s="17" t="s">
        <v>45</v>
      </c>
      <c r="C47" s="17">
        <v>2025</v>
      </c>
      <c r="D47" s="17" t="str">
        <f t="array" ref="D47">_xlfn.SWITCH(E47,"Bagor","35.18.14","Sukomoro",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7" s="16" t="s">
        <v>29</v>
      </c>
      <c r="F47" s="17" t="s">
        <v>213</v>
      </c>
      <c r="G47" s="17" t="s">
        <v>214</v>
      </c>
      <c r="H47" s="16" t="s">
        <v>31</v>
      </c>
      <c r="I47" s="16">
        <v>2</v>
      </c>
      <c r="J47" s="20">
        <v>20</v>
      </c>
      <c r="K47" s="16">
        <f t="shared" si="0"/>
        <v>22</v>
      </c>
      <c r="L47" s="18">
        <v>42000000</v>
      </c>
      <c r="M47" s="17" t="s">
        <v>32</v>
      </c>
      <c r="N47" s="18">
        <v>2400000</v>
      </c>
      <c r="O47" s="16" t="s">
        <v>194</v>
      </c>
      <c r="P47" s="30">
        <v>897600000</v>
      </c>
      <c r="Q47" s="17" t="s">
        <v>34</v>
      </c>
      <c r="R47" s="18">
        <v>240</v>
      </c>
      <c r="S47" s="16" t="s">
        <v>35</v>
      </c>
      <c r="T47" s="30">
        <v>220626000</v>
      </c>
      <c r="U47" s="20" t="s">
        <v>22</v>
      </c>
      <c r="V47" s="16">
        <v>0</v>
      </c>
      <c r="W47" s="16">
        <v>0</v>
      </c>
      <c r="X47" s="16">
        <v>0</v>
      </c>
      <c r="Y47" s="16">
        <v>30</v>
      </c>
      <c r="Z47" s="16">
        <v>40</v>
      </c>
      <c r="AA47" s="16">
        <v>30</v>
      </c>
      <c r="AB47" s="16">
        <v>0</v>
      </c>
      <c r="AC47" s="16" t="s">
        <v>215</v>
      </c>
      <c r="AD47" s="31" t="s">
        <v>216</v>
      </c>
      <c r="AE47" s="23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</row>
    <row r="48" spans="1:84" s="2" customFormat="1" x14ac:dyDescent="0.2">
      <c r="A48" s="17" t="s">
        <v>3921</v>
      </c>
      <c r="B48" s="17" t="s">
        <v>45</v>
      </c>
      <c r="C48" s="17">
        <v>2025</v>
      </c>
      <c r="D48" s="17" t="str">
        <f t="array" ref="D48">_xlfn.SWITCH(E48,"Bagor","35.18.14","Sukomoro",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8" s="16" t="s">
        <v>29</v>
      </c>
      <c r="F48" s="17" t="s">
        <v>217</v>
      </c>
      <c r="G48" s="17" t="s">
        <v>218</v>
      </c>
      <c r="H48" s="16" t="s">
        <v>31</v>
      </c>
      <c r="I48" s="16">
        <v>5</v>
      </c>
      <c r="J48" s="20">
        <v>10</v>
      </c>
      <c r="K48" s="16">
        <f t="shared" si="0"/>
        <v>15</v>
      </c>
      <c r="L48" s="18">
        <v>600000000</v>
      </c>
      <c r="M48" s="17" t="s">
        <v>32</v>
      </c>
      <c r="N48" s="18">
        <v>6000000</v>
      </c>
      <c r="O48" s="16" t="s">
        <v>194</v>
      </c>
      <c r="P48" s="30">
        <f>N48*250</f>
        <v>1500000000</v>
      </c>
      <c r="Q48" s="17" t="s">
        <v>34</v>
      </c>
      <c r="R48" s="18">
        <v>615</v>
      </c>
      <c r="S48" s="16" t="s">
        <v>35</v>
      </c>
      <c r="T48" s="30">
        <v>395700000</v>
      </c>
      <c r="U48" s="20" t="s">
        <v>22</v>
      </c>
      <c r="V48" s="16">
        <v>0</v>
      </c>
      <c r="W48" s="16">
        <v>0</v>
      </c>
      <c r="X48" s="16">
        <v>0</v>
      </c>
      <c r="Y48" s="16">
        <v>30</v>
      </c>
      <c r="Z48" s="16">
        <v>30</v>
      </c>
      <c r="AA48" s="16">
        <v>40</v>
      </c>
      <c r="AB48" s="16">
        <v>0</v>
      </c>
      <c r="AC48" s="26" t="s">
        <v>219</v>
      </c>
      <c r="AD48" s="27" t="s">
        <v>220</v>
      </c>
      <c r="AE48" s="23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</row>
    <row r="49" spans="1:84" s="2" customFormat="1" x14ac:dyDescent="0.2">
      <c r="A49" s="17" t="s">
        <v>3921</v>
      </c>
      <c r="B49" s="17" t="s">
        <v>45</v>
      </c>
      <c r="C49" s="17">
        <v>2025</v>
      </c>
      <c r="D49" s="17" t="str">
        <f t="array" ref="D49">_xlfn.SWITCH(E49,"Jatikalen","35.18.20","Kertosono", "35.18.08","Lengkong","35.18.19","Loceret","35.18.04","Tanjunganom","35.18.11","Wilangan","35.18.15")</f>
        <v>35.18.11</v>
      </c>
      <c r="E49" s="16" t="s">
        <v>60</v>
      </c>
      <c r="F49" s="17" t="s">
        <v>221</v>
      </c>
      <c r="G49" s="17" t="s">
        <v>222</v>
      </c>
      <c r="H49" s="16" t="s">
        <v>31</v>
      </c>
      <c r="I49" s="16">
        <v>15</v>
      </c>
      <c r="J49" s="20">
        <v>91</v>
      </c>
      <c r="K49" s="16">
        <f t="shared" si="0"/>
        <v>106</v>
      </c>
      <c r="L49" s="18">
        <v>450000000</v>
      </c>
      <c r="M49" s="17" t="s">
        <v>32</v>
      </c>
      <c r="N49" s="18">
        <v>90000000</v>
      </c>
      <c r="O49" s="16" t="s">
        <v>194</v>
      </c>
      <c r="P49" s="30">
        <v>28085000000</v>
      </c>
      <c r="Q49" s="17" t="s">
        <v>34</v>
      </c>
      <c r="R49" s="18">
        <v>270000</v>
      </c>
      <c r="S49" s="16" t="s">
        <v>35</v>
      </c>
      <c r="T49" s="30">
        <v>7805100000</v>
      </c>
      <c r="U49" s="20" t="s">
        <v>22</v>
      </c>
      <c r="V49" s="16">
        <v>0</v>
      </c>
      <c r="W49" s="16">
        <v>0</v>
      </c>
      <c r="X49" s="16">
        <v>0</v>
      </c>
      <c r="Y49" s="16">
        <v>30</v>
      </c>
      <c r="Z49" s="16">
        <v>30</v>
      </c>
      <c r="AA49" s="16">
        <v>40</v>
      </c>
      <c r="AB49" s="16">
        <v>0</v>
      </c>
      <c r="AC49" s="16" t="s">
        <v>223</v>
      </c>
      <c r="AD49" s="22">
        <v>39605</v>
      </c>
      <c r="AE49" s="23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</row>
    <row r="50" spans="1:84" s="2" customFormat="1" x14ac:dyDescent="0.2">
      <c r="A50" s="17" t="s">
        <v>3921</v>
      </c>
      <c r="B50" s="17" t="s">
        <v>45</v>
      </c>
      <c r="C50" s="17">
        <v>2025</v>
      </c>
      <c r="D50" s="17" t="str">
        <f t="array" ref="D50">_xlfn.SWITCH(E50,"Jatikalen","35.18.20","Kertosono", "35.18.08","Lengkong","35.18.19","Loceret","35.18.04","Tanjunganom","35.18.11","Wilangan","35.18.15")</f>
        <v>35.18.11</v>
      </c>
      <c r="E50" s="16" t="s">
        <v>60</v>
      </c>
      <c r="F50" s="17" t="s">
        <v>221</v>
      </c>
      <c r="G50" s="17" t="s">
        <v>224</v>
      </c>
      <c r="H50" s="16" t="s">
        <v>31</v>
      </c>
      <c r="I50" s="16">
        <v>6</v>
      </c>
      <c r="J50" s="20">
        <v>31</v>
      </c>
      <c r="K50" s="16">
        <f t="shared" si="0"/>
        <v>37</v>
      </c>
      <c r="L50" s="18">
        <v>31500000</v>
      </c>
      <c r="M50" s="17" t="s">
        <v>32</v>
      </c>
      <c r="N50" s="18">
        <v>60000000</v>
      </c>
      <c r="O50" s="16" t="s">
        <v>194</v>
      </c>
      <c r="P50" s="30">
        <v>22440000000</v>
      </c>
      <c r="Q50" s="17" t="s">
        <v>34</v>
      </c>
      <c r="R50" s="18">
        <v>6000</v>
      </c>
      <c r="S50" s="16" t="s">
        <v>35</v>
      </c>
      <c r="T50" s="30">
        <v>4740780000</v>
      </c>
      <c r="U50" s="20" t="s">
        <v>22</v>
      </c>
      <c r="V50" s="16">
        <v>0</v>
      </c>
      <c r="W50" s="16">
        <v>0</v>
      </c>
      <c r="X50" s="16">
        <v>0</v>
      </c>
      <c r="Y50" s="16">
        <v>35</v>
      </c>
      <c r="Z50" s="16">
        <v>30</v>
      </c>
      <c r="AA50" s="16">
        <v>35</v>
      </c>
      <c r="AB50" s="16">
        <v>0</v>
      </c>
      <c r="AC50" s="16" t="s">
        <v>225</v>
      </c>
      <c r="AD50" s="22">
        <v>39028</v>
      </c>
      <c r="AE50" s="23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</row>
    <row r="51" spans="1:84" s="2" customFormat="1" x14ac:dyDescent="0.2">
      <c r="A51" s="17" t="s">
        <v>3921</v>
      </c>
      <c r="B51" s="17" t="s">
        <v>45</v>
      </c>
      <c r="C51" s="17">
        <v>2025</v>
      </c>
      <c r="D51" s="17" t="str">
        <f t="array" ref="D51">_xlfn.SWITCH(E51,"Bagor","35.18.14","Sukomoro",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1" s="16" t="s">
        <v>114</v>
      </c>
      <c r="F51" s="17" t="s">
        <v>226</v>
      </c>
      <c r="G51" s="17" t="s">
        <v>227</v>
      </c>
      <c r="H51" s="16" t="s">
        <v>47</v>
      </c>
      <c r="I51" s="16">
        <v>5</v>
      </c>
      <c r="J51" s="20">
        <v>0</v>
      </c>
      <c r="K51" s="16">
        <f t="shared" si="0"/>
        <v>5</v>
      </c>
      <c r="L51" s="18">
        <v>91000000</v>
      </c>
      <c r="M51" s="17" t="s">
        <v>228</v>
      </c>
      <c r="N51" s="18">
        <v>60000</v>
      </c>
      <c r="O51" s="16" t="s">
        <v>229</v>
      </c>
      <c r="P51" s="30">
        <v>250000000</v>
      </c>
      <c r="Q51" s="17" t="s">
        <v>230</v>
      </c>
      <c r="R51" s="18">
        <v>55</v>
      </c>
      <c r="S51" s="16" t="s">
        <v>231</v>
      </c>
      <c r="T51" s="30">
        <v>110000000</v>
      </c>
      <c r="U51" s="20" t="s">
        <v>22</v>
      </c>
      <c r="V51" s="16" t="s">
        <v>52</v>
      </c>
      <c r="W51" s="16">
        <v>600</v>
      </c>
      <c r="X51" s="16" t="s">
        <v>53</v>
      </c>
      <c r="Y51" s="16">
        <v>75</v>
      </c>
      <c r="Z51" s="16">
        <v>25</v>
      </c>
      <c r="AA51" s="16">
        <v>0</v>
      </c>
      <c r="AB51" s="16">
        <v>0</v>
      </c>
      <c r="AC51" s="16" t="s">
        <v>232</v>
      </c>
      <c r="AD51" s="22">
        <v>38870</v>
      </c>
      <c r="AE51" s="23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</row>
    <row r="52" spans="1:84" s="2" customFormat="1" x14ac:dyDescent="0.2">
      <c r="A52" s="17" t="s">
        <v>3921</v>
      </c>
      <c r="B52" s="17" t="s">
        <v>45</v>
      </c>
      <c r="C52" s="17">
        <v>2025</v>
      </c>
      <c r="D52" s="17" t="str">
        <f t="array" ref="D52">_xlfn.SWITCH(E52,"Bagor","35.18.14","Sukomoro",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2" s="16" t="s">
        <v>140</v>
      </c>
      <c r="F52" s="17" t="s">
        <v>233</v>
      </c>
      <c r="G52" s="17" t="s">
        <v>234</v>
      </c>
      <c r="H52" s="16" t="s">
        <v>47</v>
      </c>
      <c r="I52" s="16">
        <v>3</v>
      </c>
      <c r="J52" s="20">
        <v>20</v>
      </c>
      <c r="K52" s="16">
        <f t="shared" si="0"/>
        <v>23</v>
      </c>
      <c r="L52" s="18">
        <v>150000000</v>
      </c>
      <c r="M52" s="17" t="s">
        <v>228</v>
      </c>
      <c r="N52" s="18">
        <v>90000</v>
      </c>
      <c r="O52" s="16" t="s">
        <v>229</v>
      </c>
      <c r="P52" s="30">
        <v>375000000</v>
      </c>
      <c r="Q52" s="17" t="s">
        <v>230</v>
      </c>
      <c r="R52" s="18">
        <v>80</v>
      </c>
      <c r="S52" s="16" t="s">
        <v>231</v>
      </c>
      <c r="T52" s="30">
        <v>168000000</v>
      </c>
      <c r="U52" s="20" t="s">
        <v>22</v>
      </c>
      <c r="V52" s="16" t="s">
        <v>52</v>
      </c>
      <c r="W52" s="16">
        <v>900</v>
      </c>
      <c r="X52" s="16" t="s">
        <v>53</v>
      </c>
      <c r="Y52" s="16">
        <v>70</v>
      </c>
      <c r="Z52" s="16">
        <v>30</v>
      </c>
      <c r="AA52" s="16">
        <v>0</v>
      </c>
      <c r="AB52" s="16">
        <v>0</v>
      </c>
      <c r="AC52" s="16" t="s">
        <v>235</v>
      </c>
      <c r="AD52" s="22">
        <v>38889</v>
      </c>
      <c r="AE52" s="23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</row>
    <row r="53" spans="1:84" s="2" customFormat="1" x14ac:dyDescent="0.2">
      <c r="A53" s="17" t="s">
        <v>3921</v>
      </c>
      <c r="B53" s="17" t="s">
        <v>45</v>
      </c>
      <c r="C53" s="17">
        <v>2025</v>
      </c>
      <c r="D53" s="17" t="str">
        <f t="array" ref="D53">_xlfn.SWITCH(E53,"Bagor","35.18.14","Sukomoro",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3" s="16" t="s">
        <v>29</v>
      </c>
      <c r="F53" s="17" t="s">
        <v>236</v>
      </c>
      <c r="G53" s="17" t="s">
        <v>237</v>
      </c>
      <c r="H53" s="16" t="s">
        <v>31</v>
      </c>
      <c r="I53" s="16">
        <v>3</v>
      </c>
      <c r="J53" s="20">
        <v>0</v>
      </c>
      <c r="K53" s="16">
        <f t="shared" si="0"/>
        <v>3</v>
      </c>
      <c r="L53" s="18">
        <v>130000000</v>
      </c>
      <c r="M53" s="17" t="s">
        <v>48</v>
      </c>
      <c r="N53" s="18">
        <v>72</v>
      </c>
      <c r="O53" s="16" t="s">
        <v>211</v>
      </c>
      <c r="P53" s="30">
        <v>129600000</v>
      </c>
      <c r="Q53" s="17" t="s">
        <v>57</v>
      </c>
      <c r="R53" s="18">
        <v>25</v>
      </c>
      <c r="S53" s="16" t="s">
        <v>51</v>
      </c>
      <c r="T53" s="30">
        <v>52800000</v>
      </c>
      <c r="U53" s="20" t="s">
        <v>22</v>
      </c>
      <c r="V53" s="16" t="s">
        <v>52</v>
      </c>
      <c r="W53" s="16">
        <v>250</v>
      </c>
      <c r="X53" s="16" t="s">
        <v>53</v>
      </c>
      <c r="Y53" s="16">
        <v>80</v>
      </c>
      <c r="Z53" s="16">
        <v>20</v>
      </c>
      <c r="AA53" s="16">
        <v>0</v>
      </c>
      <c r="AB53" s="16">
        <v>0</v>
      </c>
      <c r="AC53" s="16" t="s">
        <v>238</v>
      </c>
      <c r="AD53" s="22">
        <v>38734</v>
      </c>
      <c r="AE53" s="23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</row>
    <row r="54" spans="1:84" s="2" customFormat="1" x14ac:dyDescent="0.2">
      <c r="A54" s="17" t="s">
        <v>3921</v>
      </c>
      <c r="B54" s="17" t="s">
        <v>45</v>
      </c>
      <c r="C54" s="17">
        <v>2025</v>
      </c>
      <c r="D54" s="17" t="str">
        <f t="array" ref="D54">_xlfn.SWITCH(E54,"Bagor","35.18.14","Sukomoro",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4" s="16" t="s">
        <v>157</v>
      </c>
      <c r="F54" s="17" t="s">
        <v>239</v>
      </c>
      <c r="G54" s="17" t="s">
        <v>240</v>
      </c>
      <c r="H54" s="16" t="s">
        <v>47</v>
      </c>
      <c r="I54" s="16">
        <v>5</v>
      </c>
      <c r="J54" s="20">
        <v>0</v>
      </c>
      <c r="K54" s="16">
        <f t="shared" si="0"/>
        <v>5</v>
      </c>
      <c r="L54" s="18">
        <v>25000000</v>
      </c>
      <c r="M54" s="17" t="s">
        <v>48</v>
      </c>
      <c r="N54" s="18">
        <v>100</v>
      </c>
      <c r="O54" s="16" t="s">
        <v>211</v>
      </c>
      <c r="P54" s="30">
        <v>180000000</v>
      </c>
      <c r="Q54" s="17" t="s">
        <v>57</v>
      </c>
      <c r="R54" s="18">
        <v>37</v>
      </c>
      <c r="S54" s="16" t="s">
        <v>51</v>
      </c>
      <c r="T54" s="30">
        <v>76800000</v>
      </c>
      <c r="U54" s="20" t="s">
        <v>22</v>
      </c>
      <c r="V54" s="16" t="s">
        <v>52</v>
      </c>
      <c r="W54" s="16">
        <v>375</v>
      </c>
      <c r="X54" s="16" t="s">
        <v>53</v>
      </c>
      <c r="Y54" s="16">
        <v>75</v>
      </c>
      <c r="Z54" s="16">
        <v>25</v>
      </c>
      <c r="AA54" s="16">
        <v>0</v>
      </c>
      <c r="AB54" s="16">
        <v>0</v>
      </c>
      <c r="AC54" s="16" t="s">
        <v>241</v>
      </c>
      <c r="AD54" s="22">
        <v>39505</v>
      </c>
      <c r="AE54" s="23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</row>
    <row r="55" spans="1:84" s="2" customFormat="1" x14ac:dyDescent="0.2">
      <c r="A55" s="17" t="s">
        <v>3921</v>
      </c>
      <c r="B55" s="17" t="s">
        <v>45</v>
      </c>
      <c r="C55" s="17">
        <v>2025</v>
      </c>
      <c r="D55" s="17" t="str">
        <f t="array" ref="D55">_xlfn.SWITCH(E55,"Jatikalen","35.18.20","Kertosono", "35.18.08","Lengkong","35.18.19","Loceret","35.18.04","Tanjunganom","35.18.11","Wilangan","35.18.15")</f>
        <v>35.18.04</v>
      </c>
      <c r="E55" s="16" t="s">
        <v>41</v>
      </c>
      <c r="F55" s="17" t="s">
        <v>242</v>
      </c>
      <c r="G55" s="17" t="s">
        <v>243</v>
      </c>
      <c r="H55" s="16" t="s">
        <v>47</v>
      </c>
      <c r="I55" s="16">
        <v>8</v>
      </c>
      <c r="J55" s="20">
        <v>0</v>
      </c>
      <c r="K55" s="16">
        <f t="shared" si="0"/>
        <v>8</v>
      </c>
      <c r="L55" s="18">
        <v>80000000</v>
      </c>
      <c r="M55" s="17" t="s">
        <v>48</v>
      </c>
      <c r="N55" s="18">
        <v>98</v>
      </c>
      <c r="O55" s="16" t="s">
        <v>211</v>
      </c>
      <c r="P55" s="30">
        <v>176000000</v>
      </c>
      <c r="Q55" s="17" t="s">
        <v>57</v>
      </c>
      <c r="R55" s="18">
        <v>35</v>
      </c>
      <c r="S55" s="16" t="s">
        <v>51</v>
      </c>
      <c r="T55" s="30">
        <v>79200000</v>
      </c>
      <c r="U55" s="20" t="s">
        <v>22</v>
      </c>
      <c r="V55" s="16" t="s">
        <v>52</v>
      </c>
      <c r="W55" s="16">
        <v>350</v>
      </c>
      <c r="X55" s="16" t="s">
        <v>53</v>
      </c>
      <c r="Y55" s="16">
        <v>70</v>
      </c>
      <c r="Z55" s="16">
        <v>30</v>
      </c>
      <c r="AA55" s="16">
        <v>0</v>
      </c>
      <c r="AB55" s="16">
        <v>0</v>
      </c>
      <c r="AC55" s="16" t="s">
        <v>244</v>
      </c>
      <c r="AD55" s="22">
        <v>38779</v>
      </c>
      <c r="AE55" s="23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</row>
    <row r="56" spans="1:84" s="2" customFormat="1" x14ac:dyDescent="0.2">
      <c r="A56" s="17" t="s">
        <v>3921</v>
      </c>
      <c r="B56" s="17" t="s">
        <v>45</v>
      </c>
      <c r="C56" s="17">
        <v>2025</v>
      </c>
      <c r="D56" s="17" t="str">
        <f t="array" ref="D56">_xlfn.SWITCH(E56,"Bagor","35.18.14","Sukomoro",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6" s="16" t="s">
        <v>29</v>
      </c>
      <c r="F56" s="17" t="s">
        <v>245</v>
      </c>
      <c r="G56" s="17" t="s">
        <v>246</v>
      </c>
      <c r="H56" s="16" t="s">
        <v>47</v>
      </c>
      <c r="I56" s="16">
        <v>8</v>
      </c>
      <c r="J56" s="20">
        <v>0</v>
      </c>
      <c r="K56" s="16">
        <f t="shared" si="0"/>
        <v>8</v>
      </c>
      <c r="L56" s="18">
        <v>10000000</v>
      </c>
      <c r="M56" s="17" t="s">
        <v>48</v>
      </c>
      <c r="N56" s="18">
        <v>48</v>
      </c>
      <c r="O56" s="16" t="s">
        <v>211</v>
      </c>
      <c r="P56" s="30">
        <v>98400000</v>
      </c>
      <c r="Q56" s="17" t="s">
        <v>57</v>
      </c>
      <c r="R56" s="18">
        <v>24</v>
      </c>
      <c r="S56" s="16" t="s">
        <v>51</v>
      </c>
      <c r="T56" s="30">
        <v>55200000</v>
      </c>
      <c r="U56" s="20" t="s">
        <v>22</v>
      </c>
      <c r="V56" s="16" t="s">
        <v>52</v>
      </c>
      <c r="W56" s="16">
        <v>180</v>
      </c>
      <c r="X56" s="16" t="s">
        <v>53</v>
      </c>
      <c r="Y56" s="16">
        <v>80</v>
      </c>
      <c r="Z56" s="16">
        <v>20</v>
      </c>
      <c r="AA56" s="16">
        <v>0</v>
      </c>
      <c r="AB56" s="16">
        <v>0</v>
      </c>
      <c r="AC56" s="16" t="s">
        <v>247</v>
      </c>
      <c r="AD56" s="22">
        <v>38820</v>
      </c>
      <c r="AE56" s="23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</row>
    <row r="57" spans="1:84" s="2" customFormat="1" x14ac:dyDescent="0.2">
      <c r="A57" s="17" t="s">
        <v>3921</v>
      </c>
      <c r="B57" s="17" t="s">
        <v>45</v>
      </c>
      <c r="C57" s="17">
        <v>2025</v>
      </c>
      <c r="D57" s="17" t="str">
        <f t="array" ref="D57">_xlfn.SWITCH(E57,"Bagor","35.18.14","Sukomoro",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57" s="16" t="s">
        <v>103</v>
      </c>
      <c r="F57" s="17" t="s">
        <v>248</v>
      </c>
      <c r="G57" s="17" t="s">
        <v>249</v>
      </c>
      <c r="H57" s="16" t="s">
        <v>47</v>
      </c>
      <c r="I57" s="16">
        <v>6</v>
      </c>
      <c r="J57" s="20">
        <v>0</v>
      </c>
      <c r="K57" s="16">
        <f t="shared" si="0"/>
        <v>6</v>
      </c>
      <c r="L57" s="18">
        <v>80000000</v>
      </c>
      <c r="M57" s="17" t="s">
        <v>48</v>
      </c>
      <c r="N57" s="18">
        <v>120</v>
      </c>
      <c r="O57" s="16" t="s">
        <v>211</v>
      </c>
      <c r="P57" s="30">
        <v>216000000</v>
      </c>
      <c r="Q57" s="17" t="s">
        <v>57</v>
      </c>
      <c r="R57" s="18">
        <v>42</v>
      </c>
      <c r="S57" s="16" t="s">
        <v>51</v>
      </c>
      <c r="T57" s="30">
        <v>88000000</v>
      </c>
      <c r="U57" s="20" t="s">
        <v>22</v>
      </c>
      <c r="V57" s="16" t="s">
        <v>52</v>
      </c>
      <c r="W57" s="16">
        <v>420</v>
      </c>
      <c r="X57" s="16" t="s">
        <v>53</v>
      </c>
      <c r="Y57" s="16">
        <v>85</v>
      </c>
      <c r="Z57" s="16">
        <v>15</v>
      </c>
      <c r="AA57" s="16">
        <v>0</v>
      </c>
      <c r="AB57" s="16">
        <v>0</v>
      </c>
      <c r="AC57" s="16" t="s">
        <v>250</v>
      </c>
      <c r="AD57" s="22">
        <v>39002</v>
      </c>
      <c r="AE57" s="23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</row>
    <row r="58" spans="1:84" s="2" customFormat="1" x14ac:dyDescent="0.2">
      <c r="A58" s="17" t="s">
        <v>3921</v>
      </c>
      <c r="B58" s="17" t="s">
        <v>45</v>
      </c>
      <c r="C58" s="17">
        <v>2025</v>
      </c>
      <c r="D58" s="17" t="str">
        <f t="array" ref="D58">_xlfn.SWITCH(E58,"Bagor","35.18.14","Sukomoro",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8" s="16" t="s">
        <v>29</v>
      </c>
      <c r="F58" s="17" t="s">
        <v>251</v>
      </c>
      <c r="G58" s="17" t="s">
        <v>252</v>
      </c>
      <c r="H58" s="16" t="s">
        <v>47</v>
      </c>
      <c r="I58" s="16">
        <v>4</v>
      </c>
      <c r="J58" s="20">
        <v>1</v>
      </c>
      <c r="K58" s="16">
        <f t="shared" si="0"/>
        <v>5</v>
      </c>
      <c r="L58" s="18">
        <v>15700000</v>
      </c>
      <c r="M58" s="17" t="s">
        <v>48</v>
      </c>
      <c r="N58" s="18">
        <v>150</v>
      </c>
      <c r="O58" s="16" t="s">
        <v>211</v>
      </c>
      <c r="P58" s="30">
        <v>270000000</v>
      </c>
      <c r="Q58" s="17" t="s">
        <v>57</v>
      </c>
      <c r="R58" s="18">
        <v>48</v>
      </c>
      <c r="S58" s="16" t="s">
        <v>51</v>
      </c>
      <c r="T58" s="30">
        <v>115200000</v>
      </c>
      <c r="U58" s="20" t="s">
        <v>22</v>
      </c>
      <c r="V58" s="16" t="s">
        <v>52</v>
      </c>
      <c r="W58" s="16">
        <v>550</v>
      </c>
      <c r="X58" s="16" t="s">
        <v>53</v>
      </c>
      <c r="Y58" s="16">
        <v>75</v>
      </c>
      <c r="Z58" s="16">
        <v>25</v>
      </c>
      <c r="AA58" s="16">
        <v>0</v>
      </c>
      <c r="AB58" s="16">
        <v>0</v>
      </c>
      <c r="AC58" s="16" t="s">
        <v>253</v>
      </c>
      <c r="AD58" s="22">
        <v>38786</v>
      </c>
      <c r="AE58" s="23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</row>
    <row r="59" spans="1:84" s="2" customFormat="1" x14ac:dyDescent="0.2">
      <c r="A59" s="17" t="s">
        <v>3921</v>
      </c>
      <c r="B59" s="17" t="s">
        <v>45</v>
      </c>
      <c r="C59" s="17">
        <v>2025</v>
      </c>
      <c r="D59" s="17" t="str">
        <f t="array" ref="D59">_xlfn.SWITCH(E59,"Bagor","35.18.14","Sukomoro",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59" s="16" t="s">
        <v>162</v>
      </c>
      <c r="F59" s="17" t="s">
        <v>178</v>
      </c>
      <c r="G59" s="17" t="s">
        <v>254</v>
      </c>
      <c r="H59" s="16" t="s">
        <v>31</v>
      </c>
      <c r="I59" s="16">
        <v>3</v>
      </c>
      <c r="J59" s="20">
        <v>0</v>
      </c>
      <c r="K59" s="16">
        <f t="shared" si="0"/>
        <v>3</v>
      </c>
      <c r="L59" s="18">
        <v>15000000</v>
      </c>
      <c r="M59" s="17" t="s">
        <v>255</v>
      </c>
      <c r="N59" s="18">
        <v>24</v>
      </c>
      <c r="O59" s="16" t="s">
        <v>95</v>
      </c>
      <c r="P59" s="30">
        <v>30000000</v>
      </c>
      <c r="Q59" s="17" t="s">
        <v>96</v>
      </c>
      <c r="R59" s="18">
        <v>10</v>
      </c>
      <c r="S59" s="16" t="s">
        <v>33</v>
      </c>
      <c r="T59" s="30">
        <v>6500000</v>
      </c>
      <c r="U59" s="20" t="s">
        <v>22</v>
      </c>
      <c r="V59" s="16">
        <v>0</v>
      </c>
      <c r="W59" s="16">
        <v>0</v>
      </c>
      <c r="X59" s="16">
        <v>0</v>
      </c>
      <c r="Y59" s="16">
        <v>100</v>
      </c>
      <c r="Z59" s="16">
        <v>0</v>
      </c>
      <c r="AA59" s="16">
        <v>0</v>
      </c>
      <c r="AB59" s="16">
        <v>0</v>
      </c>
      <c r="AC59" s="16" t="s">
        <v>256</v>
      </c>
      <c r="AD59" s="22">
        <v>38960</v>
      </c>
      <c r="AE59" s="23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</row>
    <row r="60" spans="1:84" s="2" customFormat="1" x14ac:dyDescent="0.2">
      <c r="A60" s="17" t="s">
        <v>3921</v>
      </c>
      <c r="B60" s="17" t="s">
        <v>45</v>
      </c>
      <c r="C60" s="17">
        <v>2025</v>
      </c>
      <c r="D60" s="17" t="str">
        <f t="array" ref="D60">_xlfn.SWITCH(E60,"Jatikalen","35.18.20","Kertosono", "35.18.08","Lengkong","35.18.19","Loceret","35.18.04","Tanjunganom","35.18.11","Wilangan","35.18.15")</f>
        <v>35.18.04</v>
      </c>
      <c r="E60" s="16" t="s">
        <v>41</v>
      </c>
      <c r="F60" s="17" t="s">
        <v>110</v>
      </c>
      <c r="G60" s="17" t="s">
        <v>257</v>
      </c>
      <c r="H60" s="16" t="s">
        <v>47</v>
      </c>
      <c r="I60" s="16">
        <v>2</v>
      </c>
      <c r="J60" s="20">
        <v>6</v>
      </c>
      <c r="K60" s="16">
        <f t="shared" si="0"/>
        <v>8</v>
      </c>
      <c r="L60" s="18">
        <v>30000000</v>
      </c>
      <c r="M60" s="17" t="s">
        <v>258</v>
      </c>
      <c r="N60" s="18">
        <v>12000</v>
      </c>
      <c r="O60" s="16" t="s">
        <v>259</v>
      </c>
      <c r="P60" s="30">
        <v>359500000</v>
      </c>
      <c r="Q60" s="17" t="s">
        <v>260</v>
      </c>
      <c r="R60" s="18">
        <v>25</v>
      </c>
      <c r="S60" s="16" t="s">
        <v>261</v>
      </c>
      <c r="T60" s="30">
        <v>138500000</v>
      </c>
      <c r="U60" s="20" t="s">
        <v>262</v>
      </c>
      <c r="V60" s="16">
        <v>0</v>
      </c>
      <c r="W60" s="16">
        <v>0</v>
      </c>
      <c r="X60" s="16">
        <v>0</v>
      </c>
      <c r="Y60" s="16">
        <v>30</v>
      </c>
      <c r="Z60" s="16">
        <v>25</v>
      </c>
      <c r="AA60" s="16">
        <v>45</v>
      </c>
      <c r="AB60" s="16">
        <v>0</v>
      </c>
      <c r="AC60" s="26" t="s">
        <v>263</v>
      </c>
      <c r="AD60" s="32" t="s">
        <v>264</v>
      </c>
      <c r="AE60" s="23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</row>
    <row r="61" spans="1:84" s="2" customFormat="1" x14ac:dyDescent="0.2">
      <c r="A61" s="17" t="s">
        <v>3921</v>
      </c>
      <c r="B61" s="17" t="s">
        <v>45</v>
      </c>
      <c r="C61" s="17">
        <v>2025</v>
      </c>
      <c r="D61" s="17" t="str">
        <f t="array" ref="D61">_xlfn.SWITCH(E61,"Bagor","35.18.14","Sukomoro",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1" s="16" t="s">
        <v>92</v>
      </c>
      <c r="F61" s="17" t="s">
        <v>265</v>
      </c>
      <c r="G61" s="17" t="s">
        <v>266</v>
      </c>
      <c r="H61" s="16" t="s">
        <v>47</v>
      </c>
      <c r="I61" s="16">
        <v>6</v>
      </c>
      <c r="J61" s="20">
        <v>6</v>
      </c>
      <c r="K61" s="16">
        <f t="shared" si="0"/>
        <v>12</v>
      </c>
      <c r="L61" s="18">
        <v>100000000</v>
      </c>
      <c r="M61" s="17" t="s">
        <v>258</v>
      </c>
      <c r="N61" s="18">
        <v>20000</v>
      </c>
      <c r="O61" s="16" t="s">
        <v>259</v>
      </c>
      <c r="P61" s="30">
        <v>585500000</v>
      </c>
      <c r="Q61" s="17" t="s">
        <v>260</v>
      </c>
      <c r="R61" s="18" t="s">
        <v>267</v>
      </c>
      <c r="S61" s="16" t="s">
        <v>268</v>
      </c>
      <c r="T61" s="30">
        <v>250000000</v>
      </c>
      <c r="U61" s="20" t="s">
        <v>262</v>
      </c>
      <c r="V61" s="16">
        <v>0</v>
      </c>
      <c r="W61" s="16">
        <v>0</v>
      </c>
      <c r="X61" s="16">
        <v>0</v>
      </c>
      <c r="Y61" s="16">
        <v>25</v>
      </c>
      <c r="Z61" s="16">
        <v>50</v>
      </c>
      <c r="AA61" s="16">
        <v>25</v>
      </c>
      <c r="AB61" s="16">
        <v>0</v>
      </c>
      <c r="AC61" s="16" t="s">
        <v>269</v>
      </c>
      <c r="AD61" s="22">
        <v>38904</v>
      </c>
      <c r="AE61" s="23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</row>
    <row r="62" spans="1:84" s="2" customFormat="1" x14ac:dyDescent="0.2">
      <c r="A62" s="17" t="s">
        <v>3921</v>
      </c>
      <c r="B62" s="17" t="s">
        <v>45</v>
      </c>
      <c r="C62" s="17">
        <v>2025</v>
      </c>
      <c r="D62" s="17" t="str">
        <f t="array" ref="D62">_xlfn.SWITCH(E62,"Jatikalen","35.18.20","Kertosono", "35.18.08","Lengkong","35.18.19","Loceret","35.18.04","Tanjunganom","35.18.11","Wilangan","35.18.15")</f>
        <v>35.18.11</v>
      </c>
      <c r="E62" s="16" t="s">
        <v>60</v>
      </c>
      <c r="F62" s="17" t="s">
        <v>59</v>
      </c>
      <c r="G62" s="17" t="s">
        <v>270</v>
      </c>
      <c r="H62" s="16" t="s">
        <v>47</v>
      </c>
      <c r="I62" s="16">
        <v>7</v>
      </c>
      <c r="J62" s="20">
        <v>1</v>
      </c>
      <c r="K62" s="16">
        <f t="shared" si="0"/>
        <v>8</v>
      </c>
      <c r="L62" s="18">
        <v>251000000</v>
      </c>
      <c r="M62" s="17" t="s">
        <v>271</v>
      </c>
      <c r="N62" s="18">
        <v>2000</v>
      </c>
      <c r="O62" s="16" t="s">
        <v>49</v>
      </c>
      <c r="P62" s="30">
        <v>270000000</v>
      </c>
      <c r="Q62" s="17" t="s">
        <v>57</v>
      </c>
      <c r="R62" s="18">
        <v>1000</v>
      </c>
      <c r="S62" s="16" t="s">
        <v>51</v>
      </c>
      <c r="T62" s="30">
        <f>R62*25000</f>
        <v>25000000</v>
      </c>
      <c r="U62" s="20" t="s">
        <v>22</v>
      </c>
      <c r="V62" s="16">
        <v>0</v>
      </c>
      <c r="W62" s="16">
        <v>0</v>
      </c>
      <c r="X62" s="16">
        <v>0</v>
      </c>
      <c r="Y62" s="16">
        <v>70</v>
      </c>
      <c r="Z62" s="16">
        <v>30</v>
      </c>
      <c r="AA62" s="16">
        <v>0</v>
      </c>
      <c r="AB62" s="16">
        <v>0</v>
      </c>
      <c r="AC62" s="16" t="s">
        <v>272</v>
      </c>
      <c r="AD62" s="22">
        <v>38887</v>
      </c>
      <c r="AE62" s="23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</row>
    <row r="63" spans="1:84" s="2" customFormat="1" x14ac:dyDescent="0.2">
      <c r="A63" s="17" t="s">
        <v>3921</v>
      </c>
      <c r="B63" s="17" t="s">
        <v>45</v>
      </c>
      <c r="C63" s="17">
        <v>2025</v>
      </c>
      <c r="D63" s="17" t="str">
        <f t="array" ref="D63">_xlfn.SWITCH(E63,"Jatikalen","35.18.20","Kertosono", "35.18.08","Lengkong","35.18.19","Loceret","35.18.04","Tanjunganom","35.18.11","Wilangan","35.18.15")</f>
        <v>35.18.11</v>
      </c>
      <c r="E63" s="16" t="s">
        <v>60</v>
      </c>
      <c r="F63" s="17" t="s">
        <v>170</v>
      </c>
      <c r="G63" s="17" t="s">
        <v>273</v>
      </c>
      <c r="H63" s="16" t="s">
        <v>31</v>
      </c>
      <c r="I63" s="16">
        <v>3</v>
      </c>
      <c r="J63" s="20">
        <v>0</v>
      </c>
      <c r="K63" s="16">
        <f t="shared" si="0"/>
        <v>3</v>
      </c>
      <c r="L63" s="18">
        <v>90000000</v>
      </c>
      <c r="M63" s="17" t="s">
        <v>255</v>
      </c>
      <c r="N63" s="18">
        <v>120</v>
      </c>
      <c r="O63" s="16" t="s">
        <v>95</v>
      </c>
      <c r="P63" s="30">
        <v>151200000</v>
      </c>
      <c r="Q63" s="17" t="s">
        <v>96</v>
      </c>
      <c r="R63" s="18">
        <v>50</v>
      </c>
      <c r="S63" s="16" t="s">
        <v>33</v>
      </c>
      <c r="T63" s="30">
        <v>32400000</v>
      </c>
      <c r="U63" s="20" t="s">
        <v>22</v>
      </c>
      <c r="V63" s="16">
        <v>0</v>
      </c>
      <c r="W63" s="16">
        <v>0</v>
      </c>
      <c r="X63" s="16">
        <v>0</v>
      </c>
      <c r="Y63" s="16">
        <v>100</v>
      </c>
      <c r="Z63" s="16">
        <v>0</v>
      </c>
      <c r="AA63" s="16">
        <v>0</v>
      </c>
      <c r="AB63" s="16">
        <v>0</v>
      </c>
      <c r="AC63" s="16" t="s">
        <v>274</v>
      </c>
      <c r="AD63" s="22">
        <v>38742</v>
      </c>
      <c r="AE63" s="23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</row>
    <row r="64" spans="1:84" s="2" customFormat="1" x14ac:dyDescent="0.2">
      <c r="A64" s="17" t="s">
        <v>3921</v>
      </c>
      <c r="B64" s="17" t="s">
        <v>45</v>
      </c>
      <c r="C64" s="17">
        <v>2025</v>
      </c>
      <c r="D64" s="17" t="str">
        <f t="array" ref="D64">_xlfn.SWITCH(E64,"Bagor","35.18.14","Sukomoro",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4" s="16" t="s">
        <v>92</v>
      </c>
      <c r="F64" s="33" t="s">
        <v>275</v>
      </c>
      <c r="G64" s="33" t="s">
        <v>276</v>
      </c>
      <c r="H64" s="16" t="s">
        <v>47</v>
      </c>
      <c r="I64" s="16">
        <v>4</v>
      </c>
      <c r="J64" s="16">
        <v>5</v>
      </c>
      <c r="K64" s="16">
        <f t="shared" si="0"/>
        <v>9</v>
      </c>
      <c r="L64" s="18">
        <v>70000000</v>
      </c>
      <c r="M64" s="17" t="s">
        <v>277</v>
      </c>
      <c r="N64" s="18">
        <v>60</v>
      </c>
      <c r="O64" s="16" t="s">
        <v>83</v>
      </c>
      <c r="P64" s="30">
        <f>60000*55000</f>
        <v>3300000000</v>
      </c>
      <c r="Q64" s="17" t="s">
        <v>277</v>
      </c>
      <c r="R64" s="18">
        <v>110</v>
      </c>
      <c r="S64" s="16" t="s">
        <v>83</v>
      </c>
      <c r="T64" s="30">
        <v>1750000000</v>
      </c>
      <c r="U64" s="20" t="s">
        <v>22</v>
      </c>
      <c r="V64" s="16" t="s">
        <v>57</v>
      </c>
      <c r="W64" s="16">
        <v>600</v>
      </c>
      <c r="X64" s="16" t="s">
        <v>278</v>
      </c>
      <c r="Y64" s="16">
        <v>80</v>
      </c>
      <c r="Z64" s="16">
        <v>20</v>
      </c>
      <c r="AA64" s="16">
        <v>0</v>
      </c>
      <c r="AB64" s="16">
        <v>0</v>
      </c>
      <c r="AC64" s="16" t="s">
        <v>279</v>
      </c>
      <c r="AD64" s="22">
        <v>39650</v>
      </c>
      <c r="AE64" s="23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</row>
    <row r="65" spans="1:84" s="2" customFormat="1" x14ac:dyDescent="0.2">
      <c r="A65" s="17" t="s">
        <v>3921</v>
      </c>
      <c r="B65" s="17" t="s">
        <v>45</v>
      </c>
      <c r="C65" s="17">
        <v>2025</v>
      </c>
      <c r="D65" s="17" t="str">
        <f t="array" ref="D65">_xlfn.SWITCH(E65,"Bagor","35.18.14","Sukomoro",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65" s="16" t="s">
        <v>188</v>
      </c>
      <c r="F65" s="33" t="s">
        <v>280</v>
      </c>
      <c r="G65" s="33" t="s">
        <v>281</v>
      </c>
      <c r="H65" s="16" t="s">
        <v>47</v>
      </c>
      <c r="I65" s="16">
        <v>3</v>
      </c>
      <c r="J65" s="16">
        <v>5</v>
      </c>
      <c r="K65" s="16">
        <f t="shared" si="0"/>
        <v>8</v>
      </c>
      <c r="L65" s="18">
        <v>40000000</v>
      </c>
      <c r="M65" s="17" t="s">
        <v>108</v>
      </c>
      <c r="N65" s="18">
        <v>88</v>
      </c>
      <c r="O65" s="16" t="s">
        <v>211</v>
      </c>
      <c r="P65" s="30">
        <v>138000000</v>
      </c>
      <c r="Q65" s="17" t="s">
        <v>57</v>
      </c>
      <c r="R65" s="18">
        <v>30</v>
      </c>
      <c r="S65" s="16" t="s">
        <v>51</v>
      </c>
      <c r="T65" s="30">
        <v>63000000</v>
      </c>
      <c r="U65" s="20" t="s">
        <v>22</v>
      </c>
      <c r="V65" s="16">
        <v>0</v>
      </c>
      <c r="W65" s="16">
        <v>0</v>
      </c>
      <c r="X65" s="16">
        <v>0</v>
      </c>
      <c r="Y65" s="16">
        <v>70</v>
      </c>
      <c r="Z65" s="16">
        <v>30</v>
      </c>
      <c r="AA65" s="16">
        <v>0</v>
      </c>
      <c r="AB65" s="16">
        <v>0</v>
      </c>
      <c r="AC65" s="16" t="s">
        <v>282</v>
      </c>
      <c r="AD65" s="22">
        <v>38364</v>
      </c>
      <c r="AE65" s="23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</row>
    <row r="66" spans="1:84" s="2" customFormat="1" x14ac:dyDescent="0.2">
      <c r="A66" s="17" t="s">
        <v>3921</v>
      </c>
      <c r="B66" s="17" t="s">
        <v>45</v>
      </c>
      <c r="C66" s="17">
        <v>2025</v>
      </c>
      <c r="D66" s="17" t="str">
        <f t="array" ref="D66">_xlfn.SWITCH(E66,"Bagor","35.18.14","Sukomoro",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66" s="16" t="s">
        <v>124</v>
      </c>
      <c r="F66" s="33" t="s">
        <v>283</v>
      </c>
      <c r="G66" s="33" t="s">
        <v>284</v>
      </c>
      <c r="H66" s="16" t="s">
        <v>47</v>
      </c>
      <c r="I66" s="16">
        <v>13</v>
      </c>
      <c r="J66" s="16">
        <v>2</v>
      </c>
      <c r="K66" s="16">
        <f t="shared" si="0"/>
        <v>15</v>
      </c>
      <c r="L66" s="18">
        <v>25000000</v>
      </c>
      <c r="M66" s="17" t="s">
        <v>285</v>
      </c>
      <c r="N66" s="18">
        <v>360000</v>
      </c>
      <c r="O66" s="16" t="s">
        <v>49</v>
      </c>
      <c r="P66" s="30">
        <v>730000000</v>
      </c>
      <c r="Q66" s="17" t="s">
        <v>286</v>
      </c>
      <c r="R66" s="18">
        <v>360</v>
      </c>
      <c r="S66" s="16" t="s">
        <v>51</v>
      </c>
      <c r="T66" s="30">
        <v>315000000</v>
      </c>
      <c r="U66" s="20" t="s">
        <v>22</v>
      </c>
      <c r="V66" s="16" t="s">
        <v>57</v>
      </c>
      <c r="W66" s="16">
        <v>120</v>
      </c>
      <c r="X66" s="16" t="s">
        <v>51</v>
      </c>
      <c r="Y66" s="16">
        <v>60</v>
      </c>
      <c r="Z66" s="16">
        <v>40</v>
      </c>
      <c r="AA66" s="16">
        <v>0</v>
      </c>
      <c r="AB66" s="16">
        <v>0</v>
      </c>
      <c r="AC66" s="16" t="s">
        <v>287</v>
      </c>
      <c r="AD66" s="22">
        <v>38380</v>
      </c>
      <c r="AE66" s="23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</row>
    <row r="67" spans="1:84" s="2" customFormat="1" x14ac:dyDescent="0.2">
      <c r="A67" s="17" t="s">
        <v>3921</v>
      </c>
      <c r="B67" s="17" t="s">
        <v>45</v>
      </c>
      <c r="C67" s="17">
        <v>2025</v>
      </c>
      <c r="D67" s="17" t="str">
        <f t="array" ref="D67">_xlfn.SWITCH(E67,"Bagor","35.18.14","Sukomoro",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67" s="16" t="s">
        <v>188</v>
      </c>
      <c r="F67" s="33" t="s">
        <v>280</v>
      </c>
      <c r="G67" s="33" t="s">
        <v>288</v>
      </c>
      <c r="H67" s="16" t="s">
        <v>47</v>
      </c>
      <c r="I67" s="16">
        <v>4</v>
      </c>
      <c r="J67" s="16">
        <v>1</v>
      </c>
      <c r="K67" s="16">
        <f t="shared" ref="K67:K130" si="1">J67+I67</f>
        <v>5</v>
      </c>
      <c r="L67" s="18">
        <v>142000000</v>
      </c>
      <c r="M67" s="17" t="s">
        <v>108</v>
      </c>
      <c r="N67" s="18">
        <v>30</v>
      </c>
      <c r="O67" s="16" t="s">
        <v>211</v>
      </c>
      <c r="P67" s="30">
        <v>45000000</v>
      </c>
      <c r="Q67" s="17" t="s">
        <v>57</v>
      </c>
      <c r="R67" s="18">
        <v>10</v>
      </c>
      <c r="S67" s="16" t="s">
        <v>51</v>
      </c>
      <c r="T67" s="30">
        <v>22000000</v>
      </c>
      <c r="U67" s="20" t="s">
        <v>22</v>
      </c>
      <c r="V67" s="16">
        <v>0</v>
      </c>
      <c r="W67" s="16">
        <v>0</v>
      </c>
      <c r="X67" s="16">
        <v>0</v>
      </c>
      <c r="Y67" s="16">
        <v>60</v>
      </c>
      <c r="Z67" s="16">
        <v>40</v>
      </c>
      <c r="AA67" s="16">
        <v>0</v>
      </c>
      <c r="AB67" s="16">
        <v>0</v>
      </c>
      <c r="AC67" s="16" t="s">
        <v>289</v>
      </c>
      <c r="AD67" s="22">
        <v>38427</v>
      </c>
      <c r="AE67" s="23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</row>
    <row r="68" spans="1:84" s="2" customFormat="1" x14ac:dyDescent="0.2">
      <c r="A68" s="17" t="s">
        <v>3921</v>
      </c>
      <c r="B68" s="17" t="s">
        <v>45</v>
      </c>
      <c r="C68" s="17">
        <v>2025</v>
      </c>
      <c r="D68" s="17" t="str">
        <f t="array" ref="D68">_xlfn.SWITCH(E68,"Bagor","35.18.14","Sukomoro",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8" s="16" t="s">
        <v>114</v>
      </c>
      <c r="F68" s="33" t="s">
        <v>290</v>
      </c>
      <c r="G68" s="33" t="s">
        <v>291</v>
      </c>
      <c r="H68" s="16" t="s">
        <v>47</v>
      </c>
      <c r="I68" s="16">
        <v>1</v>
      </c>
      <c r="J68" s="16">
        <v>7</v>
      </c>
      <c r="K68" s="16">
        <f t="shared" si="1"/>
        <v>8</v>
      </c>
      <c r="L68" s="18">
        <v>30000000</v>
      </c>
      <c r="M68" s="17" t="s">
        <v>100</v>
      </c>
      <c r="N68" s="18">
        <v>100</v>
      </c>
      <c r="O68" s="16" t="s">
        <v>49</v>
      </c>
      <c r="P68" s="30">
        <v>125500000</v>
      </c>
      <c r="Q68" s="17" t="s">
        <v>96</v>
      </c>
      <c r="R68" s="18">
        <v>300</v>
      </c>
      <c r="S68" s="16" t="s">
        <v>97</v>
      </c>
      <c r="T68" s="30">
        <v>24000000</v>
      </c>
      <c r="U68" s="20" t="s">
        <v>22</v>
      </c>
      <c r="V68" s="16">
        <v>0</v>
      </c>
      <c r="W68" s="16">
        <v>0</v>
      </c>
      <c r="X68" s="16">
        <v>0</v>
      </c>
      <c r="Y68" s="16">
        <v>100</v>
      </c>
      <c r="Z68" s="16">
        <v>0</v>
      </c>
      <c r="AA68" s="16">
        <v>0</v>
      </c>
      <c r="AB68" s="16">
        <v>0</v>
      </c>
      <c r="AC68" s="16" t="s">
        <v>292</v>
      </c>
      <c r="AD68" s="22">
        <v>38435</v>
      </c>
      <c r="AE68" s="23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</row>
    <row r="69" spans="1:84" s="2" customFormat="1" x14ac:dyDescent="0.2">
      <c r="A69" s="17" t="s">
        <v>3921</v>
      </c>
      <c r="B69" s="17" t="s">
        <v>45</v>
      </c>
      <c r="C69" s="17">
        <v>2025</v>
      </c>
      <c r="D69" s="17" t="str">
        <f t="array" ref="D69">_xlfn.SWITCH(E69,"Bagor","35.18.14","Sukomoro",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9" s="16" t="s">
        <v>114</v>
      </c>
      <c r="F69" s="33" t="s">
        <v>293</v>
      </c>
      <c r="G69" s="33" t="s">
        <v>294</v>
      </c>
      <c r="H69" s="16" t="s">
        <v>47</v>
      </c>
      <c r="I69" s="16">
        <v>3</v>
      </c>
      <c r="J69" s="16">
        <v>7</v>
      </c>
      <c r="K69" s="16">
        <f t="shared" si="1"/>
        <v>10</v>
      </c>
      <c r="L69" s="18">
        <v>50000000</v>
      </c>
      <c r="M69" s="17" t="s">
        <v>48</v>
      </c>
      <c r="N69" s="18">
        <v>126</v>
      </c>
      <c r="O69" s="16" t="s">
        <v>49</v>
      </c>
      <c r="P69" s="30">
        <v>850000000</v>
      </c>
      <c r="Q69" s="17" t="s">
        <v>295</v>
      </c>
      <c r="R69" s="18">
        <v>30</v>
      </c>
      <c r="S69" s="16" t="s">
        <v>51</v>
      </c>
      <c r="T69" s="30">
        <v>210000000</v>
      </c>
      <c r="U69" s="20" t="s">
        <v>22</v>
      </c>
      <c r="V69" s="16">
        <v>0</v>
      </c>
      <c r="W69" s="16">
        <v>0</v>
      </c>
      <c r="X69" s="16">
        <v>0</v>
      </c>
      <c r="Y69" s="16">
        <v>60</v>
      </c>
      <c r="Z69" s="16">
        <v>40</v>
      </c>
      <c r="AA69" s="16">
        <v>0</v>
      </c>
      <c r="AB69" s="16">
        <v>0</v>
      </c>
      <c r="AC69" s="16"/>
      <c r="AD69" s="24">
        <v>2005</v>
      </c>
      <c r="AE69" s="23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</row>
    <row r="70" spans="1:84" s="2" customFormat="1" x14ac:dyDescent="0.2">
      <c r="A70" s="17" t="s">
        <v>3921</v>
      </c>
      <c r="B70" s="17" t="s">
        <v>45</v>
      </c>
      <c r="C70" s="17">
        <v>2025</v>
      </c>
      <c r="D70" s="17" t="str">
        <f t="array" ref="D70">_xlfn.SWITCH(E70,"Bagor","35.18.14","Sukomoro",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70" s="16" t="s">
        <v>55</v>
      </c>
      <c r="F70" s="33" t="s">
        <v>296</v>
      </c>
      <c r="G70" s="33" t="s">
        <v>297</v>
      </c>
      <c r="H70" s="16" t="s">
        <v>31</v>
      </c>
      <c r="I70" s="16">
        <v>2</v>
      </c>
      <c r="J70" s="16">
        <v>10</v>
      </c>
      <c r="K70" s="16">
        <f t="shared" si="1"/>
        <v>12</v>
      </c>
      <c r="L70" s="18">
        <v>20000000</v>
      </c>
      <c r="M70" s="17" t="s">
        <v>32</v>
      </c>
      <c r="N70" s="18">
        <v>2400000</v>
      </c>
      <c r="O70" s="16" t="s">
        <v>194</v>
      </c>
      <c r="P70" s="30">
        <v>897600000</v>
      </c>
      <c r="Q70" s="17" t="s">
        <v>34</v>
      </c>
      <c r="R70" s="18">
        <v>240</v>
      </c>
      <c r="S70" s="16" t="s">
        <v>35</v>
      </c>
      <c r="T70" s="30">
        <v>207626000</v>
      </c>
      <c r="U70" s="20" t="s">
        <v>22</v>
      </c>
      <c r="V70" s="16">
        <v>0</v>
      </c>
      <c r="W70" s="16">
        <v>0</v>
      </c>
      <c r="X70" s="16">
        <v>0</v>
      </c>
      <c r="Y70" s="16">
        <v>30</v>
      </c>
      <c r="Z70" s="16">
        <v>40</v>
      </c>
      <c r="AA70" s="16">
        <v>30</v>
      </c>
      <c r="AB70" s="16">
        <v>0</v>
      </c>
      <c r="AC70" s="16" t="s">
        <v>298</v>
      </c>
      <c r="AD70" s="22">
        <v>39786</v>
      </c>
      <c r="AE70" s="23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</row>
    <row r="71" spans="1:84" s="2" customFormat="1" x14ac:dyDescent="0.2">
      <c r="A71" s="17" t="s">
        <v>3921</v>
      </c>
      <c r="B71" s="17" t="s">
        <v>45</v>
      </c>
      <c r="C71" s="17">
        <v>2025</v>
      </c>
      <c r="D71" s="17" t="str">
        <f t="array" ref="D71">_xlfn.SWITCH(E71,"Bagor","35.18.14","Sukomoro",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1" s="16" t="s">
        <v>114</v>
      </c>
      <c r="F71" s="33" t="s">
        <v>226</v>
      </c>
      <c r="G71" s="33" t="s">
        <v>299</v>
      </c>
      <c r="H71" s="16" t="s">
        <v>47</v>
      </c>
      <c r="I71" s="16">
        <v>4</v>
      </c>
      <c r="J71" s="16">
        <v>5</v>
      </c>
      <c r="K71" s="16">
        <f t="shared" si="1"/>
        <v>9</v>
      </c>
      <c r="L71" s="18">
        <v>234550000</v>
      </c>
      <c r="M71" s="17" t="s">
        <v>108</v>
      </c>
      <c r="N71" s="18">
        <v>75</v>
      </c>
      <c r="O71" s="16" t="s">
        <v>211</v>
      </c>
      <c r="P71" s="30">
        <v>135000000</v>
      </c>
      <c r="Q71" s="17" t="s">
        <v>57</v>
      </c>
      <c r="R71" s="18">
        <v>26</v>
      </c>
      <c r="S71" s="16" t="s">
        <v>51</v>
      </c>
      <c r="T71" s="30">
        <v>52000000</v>
      </c>
      <c r="U71" s="20" t="s">
        <v>22</v>
      </c>
      <c r="V71" s="16">
        <v>0</v>
      </c>
      <c r="W71" s="16">
        <v>0</v>
      </c>
      <c r="X71" s="16">
        <v>0</v>
      </c>
      <c r="Y71" s="16">
        <v>60</v>
      </c>
      <c r="Z71" s="16">
        <v>40</v>
      </c>
      <c r="AA71" s="16">
        <v>0</v>
      </c>
      <c r="AB71" s="16">
        <v>0</v>
      </c>
      <c r="AC71" s="16" t="s">
        <v>300</v>
      </c>
      <c r="AD71" s="22">
        <v>38481</v>
      </c>
      <c r="AE71" s="23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</row>
    <row r="72" spans="1:84" s="2" customFormat="1" x14ac:dyDescent="0.2">
      <c r="A72" s="17" t="s">
        <v>3921</v>
      </c>
      <c r="B72" s="17" t="s">
        <v>45</v>
      </c>
      <c r="C72" s="17">
        <v>2025</v>
      </c>
      <c r="D72" s="17" t="str">
        <f t="array" ref="D72">_xlfn.SWITCH(E72,"Bagor","35.18.14","Sukomoro",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72" s="16" t="s">
        <v>55</v>
      </c>
      <c r="F72" s="33" t="s">
        <v>301</v>
      </c>
      <c r="G72" s="33" t="s">
        <v>302</v>
      </c>
      <c r="H72" s="16" t="s">
        <v>47</v>
      </c>
      <c r="I72" s="16">
        <v>2</v>
      </c>
      <c r="J72" s="16">
        <v>4</v>
      </c>
      <c r="K72" s="16">
        <f t="shared" si="1"/>
        <v>6</v>
      </c>
      <c r="L72" s="18">
        <v>125350000</v>
      </c>
      <c r="M72" s="17" t="s">
        <v>108</v>
      </c>
      <c r="N72" s="18">
        <v>60</v>
      </c>
      <c r="O72" s="16" t="s">
        <v>211</v>
      </c>
      <c r="P72" s="30">
        <v>108000000</v>
      </c>
      <c r="Q72" s="17" t="s">
        <v>57</v>
      </c>
      <c r="R72" s="18">
        <v>20</v>
      </c>
      <c r="S72" s="16" t="s">
        <v>51</v>
      </c>
      <c r="T72" s="30">
        <v>42000000</v>
      </c>
      <c r="U72" s="20" t="s">
        <v>22</v>
      </c>
      <c r="V72" s="16">
        <v>0</v>
      </c>
      <c r="W72" s="16">
        <v>0</v>
      </c>
      <c r="X72" s="16">
        <v>0</v>
      </c>
      <c r="Y72" s="16">
        <v>55</v>
      </c>
      <c r="Z72" s="16">
        <v>45</v>
      </c>
      <c r="AA72" s="16">
        <v>0</v>
      </c>
      <c r="AB72" s="16">
        <v>0</v>
      </c>
      <c r="AC72" s="16" t="s">
        <v>303</v>
      </c>
      <c r="AD72" s="22">
        <v>38491</v>
      </c>
      <c r="AE72" s="23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</row>
    <row r="73" spans="1:84" s="2" customFormat="1" x14ac:dyDescent="0.2">
      <c r="A73" s="17" t="s">
        <v>3921</v>
      </c>
      <c r="B73" s="17" t="s">
        <v>45</v>
      </c>
      <c r="C73" s="17">
        <v>2025</v>
      </c>
      <c r="D73" s="17" t="str">
        <f t="array" ref="D73">_xlfn.SWITCH(E73,"Bagor","35.18.14","Sukomoro",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3" s="16" t="s">
        <v>29</v>
      </c>
      <c r="F73" s="33" t="s">
        <v>245</v>
      </c>
      <c r="G73" s="33" t="s">
        <v>304</v>
      </c>
      <c r="H73" s="16" t="s">
        <v>47</v>
      </c>
      <c r="I73" s="16">
        <v>2</v>
      </c>
      <c r="J73" s="16">
        <v>7</v>
      </c>
      <c r="K73" s="16">
        <f t="shared" si="1"/>
        <v>9</v>
      </c>
      <c r="L73" s="18">
        <v>21000000</v>
      </c>
      <c r="M73" s="17" t="s">
        <v>108</v>
      </c>
      <c r="N73" s="18">
        <v>25</v>
      </c>
      <c r="O73" s="16" t="s">
        <v>211</v>
      </c>
      <c r="P73" s="30">
        <v>45000000</v>
      </c>
      <c r="Q73" s="17" t="s">
        <v>57</v>
      </c>
      <c r="R73" s="18">
        <v>9.6</v>
      </c>
      <c r="S73" s="16" t="s">
        <v>51</v>
      </c>
      <c r="T73" s="30">
        <v>20000000</v>
      </c>
      <c r="U73" s="20" t="s">
        <v>22</v>
      </c>
      <c r="V73" s="16">
        <v>0</v>
      </c>
      <c r="W73" s="16">
        <v>0</v>
      </c>
      <c r="X73" s="16">
        <v>0</v>
      </c>
      <c r="Y73" s="16">
        <v>70</v>
      </c>
      <c r="Z73" s="16">
        <v>30</v>
      </c>
      <c r="AA73" s="16">
        <v>0</v>
      </c>
      <c r="AB73" s="16">
        <v>0</v>
      </c>
      <c r="AC73" s="16"/>
      <c r="AD73" s="24">
        <v>2005</v>
      </c>
      <c r="AE73" s="23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</row>
    <row r="74" spans="1:84" s="2" customFormat="1" x14ac:dyDescent="0.2">
      <c r="A74" s="17" t="s">
        <v>3921</v>
      </c>
      <c r="B74" s="17" t="s">
        <v>45</v>
      </c>
      <c r="C74" s="17">
        <v>2025</v>
      </c>
      <c r="D74" s="17" t="str">
        <f t="array" ref="D74">_xlfn.SWITCH(E74,"Jatikalen","35.18.20","Kertosono", "35.18.08","Lengkong","35.18.19","Loceret","35.18.04","Tanjunganom","35.18.11","Wilangan","35.18.15")</f>
        <v>35.18.11</v>
      </c>
      <c r="E74" s="16" t="s">
        <v>60</v>
      </c>
      <c r="F74" s="33" t="s">
        <v>59</v>
      </c>
      <c r="G74" s="33" t="s">
        <v>305</v>
      </c>
      <c r="H74" s="16" t="s">
        <v>31</v>
      </c>
      <c r="I74" s="16">
        <v>5</v>
      </c>
      <c r="J74" s="16">
        <v>7</v>
      </c>
      <c r="K74" s="16">
        <f t="shared" si="1"/>
        <v>12</v>
      </c>
      <c r="L74" s="18">
        <v>40000000</v>
      </c>
      <c r="M74" s="17" t="s">
        <v>32</v>
      </c>
      <c r="N74" s="18">
        <v>5400000</v>
      </c>
      <c r="O74" s="16" t="s">
        <v>194</v>
      </c>
      <c r="P74" s="30">
        <v>2149600000</v>
      </c>
      <c r="Q74" s="17" t="s">
        <v>34</v>
      </c>
      <c r="R74" s="18">
        <v>535</v>
      </c>
      <c r="S74" s="16" t="s">
        <v>35</v>
      </c>
      <c r="T74" s="30">
        <v>575000000</v>
      </c>
      <c r="U74" s="20" t="s">
        <v>22</v>
      </c>
      <c r="V74" s="16">
        <v>0</v>
      </c>
      <c r="W74" s="16">
        <v>0</v>
      </c>
      <c r="X74" s="16">
        <v>0</v>
      </c>
      <c r="Y74" s="16">
        <v>30</v>
      </c>
      <c r="Z74" s="16">
        <v>40</v>
      </c>
      <c r="AA74" s="16">
        <v>30</v>
      </c>
      <c r="AB74" s="16">
        <v>0</v>
      </c>
      <c r="AC74" s="16" t="s">
        <v>306</v>
      </c>
      <c r="AD74" s="22">
        <v>38566</v>
      </c>
      <c r="AE74" s="23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</row>
    <row r="75" spans="1:84" s="2" customFormat="1" x14ac:dyDescent="0.2">
      <c r="A75" s="17" t="s">
        <v>3921</v>
      </c>
      <c r="B75" s="17" t="s">
        <v>45</v>
      </c>
      <c r="C75" s="17">
        <v>2025</v>
      </c>
      <c r="D75" s="17" t="str">
        <f t="array" ref="D75">_xlfn.SWITCH(E75,"Bagor","35.18.14","Sukomoro",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75" s="16" t="s">
        <v>188</v>
      </c>
      <c r="F75" s="33" t="s">
        <v>280</v>
      </c>
      <c r="G75" s="33" t="s">
        <v>307</v>
      </c>
      <c r="H75" s="16" t="s">
        <v>31</v>
      </c>
      <c r="I75" s="16">
        <v>2</v>
      </c>
      <c r="J75" s="16">
        <v>5</v>
      </c>
      <c r="K75" s="16">
        <f t="shared" si="1"/>
        <v>7</v>
      </c>
      <c r="L75" s="18">
        <v>25000000</v>
      </c>
      <c r="M75" s="17" t="s">
        <v>32</v>
      </c>
      <c r="N75" s="18">
        <v>5400000</v>
      </c>
      <c r="O75" s="16" t="s">
        <v>194</v>
      </c>
      <c r="P75" s="30">
        <v>2019600000</v>
      </c>
      <c r="Q75" s="17" t="s">
        <v>34</v>
      </c>
      <c r="R75" s="18">
        <v>540</v>
      </c>
      <c r="S75" s="16" t="s">
        <v>35</v>
      </c>
      <c r="T75" s="30">
        <v>589665000</v>
      </c>
      <c r="U75" s="20" t="s">
        <v>22</v>
      </c>
      <c r="V75" s="16">
        <v>0</v>
      </c>
      <c r="W75" s="16">
        <v>0</v>
      </c>
      <c r="X75" s="16">
        <v>0</v>
      </c>
      <c r="Y75" s="16">
        <v>30</v>
      </c>
      <c r="Z75" s="16">
        <v>30</v>
      </c>
      <c r="AA75" s="16">
        <v>40</v>
      </c>
      <c r="AB75" s="16">
        <v>0</v>
      </c>
      <c r="AC75" s="16" t="s">
        <v>308</v>
      </c>
      <c r="AD75" s="22">
        <v>38566</v>
      </c>
      <c r="AE75" s="23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</row>
    <row r="76" spans="1:84" s="2" customFormat="1" x14ac:dyDescent="0.2">
      <c r="A76" s="17" t="s">
        <v>3921</v>
      </c>
      <c r="B76" s="17" t="s">
        <v>45</v>
      </c>
      <c r="C76" s="17">
        <v>2025</v>
      </c>
      <c r="D76" s="17" t="str">
        <f t="array" ref="D76">_xlfn.SWITCH(E76,"Bagor","35.18.14","Sukomoro",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76" s="16" t="s">
        <v>124</v>
      </c>
      <c r="F76" s="33" t="s">
        <v>309</v>
      </c>
      <c r="G76" s="33" t="s">
        <v>310</v>
      </c>
      <c r="H76" s="16" t="s">
        <v>47</v>
      </c>
      <c r="I76" s="16">
        <v>15</v>
      </c>
      <c r="J76" s="16">
        <v>35</v>
      </c>
      <c r="K76" s="16">
        <f t="shared" si="1"/>
        <v>50</v>
      </c>
      <c r="L76" s="18">
        <v>99000000</v>
      </c>
      <c r="M76" s="17" t="s">
        <v>180</v>
      </c>
      <c r="N76" s="18">
        <v>144</v>
      </c>
      <c r="O76" s="16" t="s">
        <v>83</v>
      </c>
      <c r="P76" s="30">
        <v>835000000</v>
      </c>
      <c r="Q76" s="17" t="s">
        <v>159</v>
      </c>
      <c r="R76" s="18">
        <v>160</v>
      </c>
      <c r="S76" s="16" t="s">
        <v>83</v>
      </c>
      <c r="T76" s="30">
        <v>476800000</v>
      </c>
      <c r="U76" s="20" t="s">
        <v>22</v>
      </c>
      <c r="V76" s="16" t="s">
        <v>57</v>
      </c>
      <c r="W76" s="16">
        <v>300</v>
      </c>
      <c r="X76" s="16" t="s">
        <v>51</v>
      </c>
      <c r="Y76" s="16">
        <v>60</v>
      </c>
      <c r="Z76" s="16">
        <v>40</v>
      </c>
      <c r="AA76" s="16">
        <v>0</v>
      </c>
      <c r="AB76" s="16">
        <v>0</v>
      </c>
      <c r="AC76" s="16" t="s">
        <v>311</v>
      </c>
      <c r="AD76" s="22">
        <v>38609</v>
      </c>
      <c r="AE76" s="23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</row>
    <row r="77" spans="1:84" s="2" customFormat="1" x14ac:dyDescent="0.2">
      <c r="A77" s="17" t="s">
        <v>3921</v>
      </c>
      <c r="B77" s="17" t="s">
        <v>45</v>
      </c>
      <c r="C77" s="17">
        <v>2025</v>
      </c>
      <c r="D77" s="17" t="str">
        <f t="array" ref="D77">_xlfn.SWITCH(E77,"Jatikalen","35.18.20","Kertosono", "35.18.08","Lengkong","35.18.19","Loceret","35.18.04","Tanjunganom","35.18.11","Wilangan","35.18.15")</f>
        <v>35.18.08</v>
      </c>
      <c r="E77" s="16" t="s">
        <v>128</v>
      </c>
      <c r="F77" s="33" t="s">
        <v>312</v>
      </c>
      <c r="G77" s="33" t="s">
        <v>313</v>
      </c>
      <c r="H77" s="16" t="s">
        <v>47</v>
      </c>
      <c r="I77" s="16">
        <v>2</v>
      </c>
      <c r="J77" s="16">
        <v>8</v>
      </c>
      <c r="K77" s="16">
        <f t="shared" si="1"/>
        <v>10</v>
      </c>
      <c r="L77" s="18">
        <v>72000000</v>
      </c>
      <c r="M77" s="17" t="s">
        <v>108</v>
      </c>
      <c r="N77" s="18">
        <v>80</v>
      </c>
      <c r="O77" s="16" t="s">
        <v>211</v>
      </c>
      <c r="P77" s="30">
        <v>603000000</v>
      </c>
      <c r="Q77" s="17" t="s">
        <v>212</v>
      </c>
      <c r="R77" s="18">
        <v>50</v>
      </c>
      <c r="S77" s="16" t="s">
        <v>51</v>
      </c>
      <c r="T77" s="30">
        <v>210000000</v>
      </c>
      <c r="U77" s="20" t="s">
        <v>22</v>
      </c>
      <c r="V77" s="16">
        <v>0</v>
      </c>
      <c r="W77" s="16">
        <v>0</v>
      </c>
      <c r="X77" s="16">
        <v>0</v>
      </c>
      <c r="Y77" s="16">
        <v>65</v>
      </c>
      <c r="Z77" s="16">
        <v>35</v>
      </c>
      <c r="AA77" s="16">
        <v>0</v>
      </c>
      <c r="AB77" s="16">
        <v>0</v>
      </c>
      <c r="AC77" s="16"/>
      <c r="AD77" s="24">
        <v>2005</v>
      </c>
      <c r="AE77" s="23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</row>
    <row r="78" spans="1:84" s="2" customFormat="1" x14ac:dyDescent="0.2">
      <c r="A78" s="17" t="s">
        <v>3921</v>
      </c>
      <c r="B78" s="17" t="s">
        <v>45</v>
      </c>
      <c r="C78" s="17">
        <v>2025</v>
      </c>
      <c r="D78" s="17" t="str">
        <f t="array" ref="D78">_xlfn.SWITCH(E78,"Bagor","35.18.14","Sukomoro",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78" s="16" t="s">
        <v>45</v>
      </c>
      <c r="F78" s="33" t="s">
        <v>314</v>
      </c>
      <c r="G78" s="33" t="s">
        <v>315</v>
      </c>
      <c r="H78" s="16" t="s">
        <v>47</v>
      </c>
      <c r="I78" s="16">
        <v>2</v>
      </c>
      <c r="J78" s="16">
        <v>8</v>
      </c>
      <c r="K78" s="16">
        <f t="shared" si="1"/>
        <v>10</v>
      </c>
      <c r="L78" s="18">
        <v>120000000</v>
      </c>
      <c r="M78" s="17" t="s">
        <v>108</v>
      </c>
      <c r="N78" s="18">
        <v>70</v>
      </c>
      <c r="O78" s="16" t="s">
        <v>211</v>
      </c>
      <c r="P78" s="30">
        <v>112000000</v>
      </c>
      <c r="Q78" s="17" t="s">
        <v>57</v>
      </c>
      <c r="R78" s="18">
        <v>23</v>
      </c>
      <c r="S78" s="16" t="s">
        <v>51</v>
      </c>
      <c r="T78" s="30">
        <v>50600000</v>
      </c>
      <c r="U78" s="20" t="s">
        <v>22</v>
      </c>
      <c r="V78" s="16">
        <v>0</v>
      </c>
      <c r="W78" s="16">
        <v>0</v>
      </c>
      <c r="X78" s="16">
        <v>0</v>
      </c>
      <c r="Y78" s="16">
        <v>65</v>
      </c>
      <c r="Z78" s="16">
        <v>35</v>
      </c>
      <c r="AA78" s="16">
        <v>0</v>
      </c>
      <c r="AB78" s="16">
        <v>0</v>
      </c>
      <c r="AC78" s="16" t="s">
        <v>316</v>
      </c>
      <c r="AD78" s="22">
        <v>38615</v>
      </c>
      <c r="AE78" s="23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</row>
    <row r="79" spans="1:84" s="2" customFormat="1" x14ac:dyDescent="0.2">
      <c r="A79" s="17" t="s">
        <v>3921</v>
      </c>
      <c r="B79" s="17" t="s">
        <v>45</v>
      </c>
      <c r="C79" s="17">
        <v>2025</v>
      </c>
      <c r="D79" s="17" t="str">
        <f t="array" ref="D79">_xlfn.SWITCH(E79,"Bagor","35.18.14","Sukomoro",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9" s="16" t="s">
        <v>92</v>
      </c>
      <c r="F79" s="33" t="s">
        <v>136</v>
      </c>
      <c r="G79" s="33" t="s">
        <v>317</v>
      </c>
      <c r="H79" s="16" t="s">
        <v>47</v>
      </c>
      <c r="I79" s="16">
        <v>2</v>
      </c>
      <c r="J79" s="16">
        <v>8</v>
      </c>
      <c r="K79" s="16">
        <f t="shared" si="1"/>
        <v>10</v>
      </c>
      <c r="L79" s="18">
        <v>500000000</v>
      </c>
      <c r="M79" s="17" t="s">
        <v>108</v>
      </c>
      <c r="N79" s="18">
        <v>300</v>
      </c>
      <c r="O79" s="16" t="s">
        <v>211</v>
      </c>
      <c r="P79" s="30">
        <v>540000000</v>
      </c>
      <c r="Q79" s="17" t="s">
        <v>57</v>
      </c>
      <c r="R79" s="18">
        <v>100</v>
      </c>
      <c r="S79" s="16" t="s">
        <v>51</v>
      </c>
      <c r="T79" s="30">
        <v>220000000</v>
      </c>
      <c r="U79" s="20" t="s">
        <v>22</v>
      </c>
      <c r="V79" s="16">
        <v>0</v>
      </c>
      <c r="W79" s="16">
        <v>0</v>
      </c>
      <c r="X79" s="16">
        <v>0</v>
      </c>
      <c r="Y79" s="16">
        <v>60</v>
      </c>
      <c r="Z79" s="16">
        <v>40</v>
      </c>
      <c r="AA79" s="16">
        <v>0</v>
      </c>
      <c r="AB79" s="16">
        <v>0</v>
      </c>
      <c r="AC79" s="16" t="s">
        <v>318</v>
      </c>
      <c r="AD79" s="22">
        <v>38617</v>
      </c>
      <c r="AE79" s="23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</row>
    <row r="80" spans="1:84" s="2" customFormat="1" x14ac:dyDescent="0.2">
      <c r="A80" s="17" t="s">
        <v>3921</v>
      </c>
      <c r="B80" s="17" t="s">
        <v>45</v>
      </c>
      <c r="C80" s="17">
        <v>2025</v>
      </c>
      <c r="D80" s="17" t="str">
        <f t="array" ref="D80">_xlfn.SWITCH(E80,"Jatikalen","35.18.20","Kertosono", "35.18.08","Lengkong","35.18.19","Loceret","35.18.04","Tanjunganom","35.18.11","Wilangan","35.18.15")</f>
        <v>35.18.04</v>
      </c>
      <c r="E80" s="16" t="s">
        <v>41</v>
      </c>
      <c r="F80" s="33" t="s">
        <v>319</v>
      </c>
      <c r="G80" s="33" t="s">
        <v>320</v>
      </c>
      <c r="H80" s="16" t="s">
        <v>47</v>
      </c>
      <c r="I80" s="16">
        <v>2</v>
      </c>
      <c r="J80" s="16">
        <v>7</v>
      </c>
      <c r="K80" s="16">
        <f t="shared" si="1"/>
        <v>9</v>
      </c>
      <c r="L80" s="18">
        <v>100000000</v>
      </c>
      <c r="M80" s="17" t="s">
        <v>108</v>
      </c>
      <c r="N80" s="18">
        <v>240</v>
      </c>
      <c r="O80" s="16" t="s">
        <v>51</v>
      </c>
      <c r="P80" s="30">
        <v>3200000000</v>
      </c>
      <c r="Q80" s="17" t="s">
        <v>57</v>
      </c>
      <c r="R80" s="18">
        <v>250</v>
      </c>
      <c r="S80" s="16" t="s">
        <v>51</v>
      </c>
      <c r="T80" s="30">
        <v>1780000000</v>
      </c>
      <c r="U80" s="20" t="s">
        <v>22</v>
      </c>
      <c r="V80" s="16">
        <v>0</v>
      </c>
      <c r="W80" s="16">
        <v>0</v>
      </c>
      <c r="X80" s="16">
        <v>0</v>
      </c>
      <c r="Y80" s="16">
        <v>70</v>
      </c>
      <c r="Z80" s="16">
        <v>30</v>
      </c>
      <c r="AA80" s="16">
        <v>0</v>
      </c>
      <c r="AB80" s="16">
        <v>0</v>
      </c>
      <c r="AC80" s="16" t="s">
        <v>321</v>
      </c>
      <c r="AD80" s="22">
        <v>39687</v>
      </c>
      <c r="AE80" s="23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</row>
    <row r="81" spans="1:84" s="2" customFormat="1" x14ac:dyDescent="0.2">
      <c r="A81" s="17" t="s">
        <v>3921</v>
      </c>
      <c r="B81" s="17" t="s">
        <v>45</v>
      </c>
      <c r="C81" s="17">
        <v>2025</v>
      </c>
      <c r="D81" s="17" t="str">
        <f t="array" ref="D81">_xlfn.SWITCH(E81,"Bagor","35.18.14","Sukomoro",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81" s="16" t="s">
        <v>45</v>
      </c>
      <c r="F81" s="33" t="s">
        <v>322</v>
      </c>
      <c r="G81" s="33" t="s">
        <v>323</v>
      </c>
      <c r="H81" s="16" t="s">
        <v>47</v>
      </c>
      <c r="I81" s="16">
        <v>5</v>
      </c>
      <c r="J81" s="16">
        <v>1</v>
      </c>
      <c r="K81" s="16">
        <f t="shared" si="1"/>
        <v>6</v>
      </c>
      <c r="L81" s="18">
        <v>76000000</v>
      </c>
      <c r="M81" s="17" t="s">
        <v>324</v>
      </c>
      <c r="N81" s="18">
        <v>530</v>
      </c>
      <c r="O81" s="16" t="s">
        <v>325</v>
      </c>
      <c r="P81" s="30">
        <v>115000000</v>
      </c>
      <c r="Q81" s="17" t="s">
        <v>326</v>
      </c>
      <c r="R81" s="18">
        <v>520</v>
      </c>
      <c r="S81" s="16" t="s">
        <v>229</v>
      </c>
      <c r="T81" s="30">
        <v>51000000</v>
      </c>
      <c r="U81" s="20" t="s">
        <v>22</v>
      </c>
      <c r="V81" s="16" t="s">
        <v>52</v>
      </c>
      <c r="W81" s="16">
        <v>200</v>
      </c>
      <c r="X81" s="16" t="s">
        <v>143</v>
      </c>
      <c r="Y81" s="16">
        <v>75</v>
      </c>
      <c r="Z81" s="16">
        <v>25</v>
      </c>
      <c r="AA81" s="16">
        <v>0</v>
      </c>
      <c r="AB81" s="16">
        <v>0</v>
      </c>
      <c r="AC81" s="26" t="s">
        <v>327</v>
      </c>
      <c r="AD81" s="34">
        <v>39864</v>
      </c>
      <c r="AE81" s="23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</row>
    <row r="82" spans="1:84" s="2" customFormat="1" x14ac:dyDescent="0.2">
      <c r="A82" s="17" t="s">
        <v>3921</v>
      </c>
      <c r="B82" s="17" t="s">
        <v>45</v>
      </c>
      <c r="C82" s="17">
        <v>2025</v>
      </c>
      <c r="D82" s="17" t="str">
        <f t="array" ref="D82">_xlfn.SWITCH(E82,"Bagor","35.18.14","Sukomoro",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82" s="16" t="s">
        <v>162</v>
      </c>
      <c r="F82" s="33" t="s">
        <v>328</v>
      </c>
      <c r="G82" s="33" t="s">
        <v>329</v>
      </c>
      <c r="H82" s="16" t="s">
        <v>47</v>
      </c>
      <c r="I82" s="16">
        <v>1</v>
      </c>
      <c r="J82" s="16">
        <v>4</v>
      </c>
      <c r="K82" s="16">
        <f t="shared" si="1"/>
        <v>5</v>
      </c>
      <c r="L82" s="18">
        <v>243000000</v>
      </c>
      <c r="M82" s="17" t="s">
        <v>108</v>
      </c>
      <c r="N82" s="18">
        <v>80</v>
      </c>
      <c r="O82" s="16" t="s">
        <v>211</v>
      </c>
      <c r="P82" s="30">
        <v>144000000</v>
      </c>
      <c r="Q82" s="17" t="s">
        <v>57</v>
      </c>
      <c r="R82" s="18">
        <v>27</v>
      </c>
      <c r="S82" s="16" t="s">
        <v>51</v>
      </c>
      <c r="T82" s="30">
        <v>59275000</v>
      </c>
      <c r="U82" s="20" t="s">
        <v>22</v>
      </c>
      <c r="V82" s="16">
        <v>0</v>
      </c>
      <c r="W82" s="16">
        <v>0</v>
      </c>
      <c r="X82" s="16">
        <v>0</v>
      </c>
      <c r="Y82" s="16">
        <v>70</v>
      </c>
      <c r="Z82" s="16">
        <v>30</v>
      </c>
      <c r="AA82" s="16">
        <v>0</v>
      </c>
      <c r="AB82" s="16">
        <v>0</v>
      </c>
      <c r="AC82" s="16" t="s">
        <v>330</v>
      </c>
      <c r="AD82" s="22">
        <v>38646</v>
      </c>
      <c r="AE82" s="23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</row>
    <row r="83" spans="1:84" s="2" customFormat="1" x14ac:dyDescent="0.2">
      <c r="A83" s="17" t="s">
        <v>3921</v>
      </c>
      <c r="B83" s="17" t="s">
        <v>45</v>
      </c>
      <c r="C83" s="17">
        <v>2025</v>
      </c>
      <c r="D83" s="17" t="str">
        <f t="array" ref="D83">_xlfn.SWITCH(E83,"Bagor","35.18.14","Sukomoro",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83" s="16" t="s">
        <v>162</v>
      </c>
      <c r="F83" s="33" t="s">
        <v>161</v>
      </c>
      <c r="G83" s="33" t="s">
        <v>331</v>
      </c>
      <c r="H83" s="16" t="s">
        <v>47</v>
      </c>
      <c r="I83" s="16">
        <v>18</v>
      </c>
      <c r="J83" s="16">
        <v>5</v>
      </c>
      <c r="K83" s="16">
        <f t="shared" si="1"/>
        <v>23</v>
      </c>
      <c r="L83" s="18">
        <v>110000000</v>
      </c>
      <c r="M83" s="17" t="s">
        <v>332</v>
      </c>
      <c r="N83" s="18">
        <v>15000</v>
      </c>
      <c r="O83" s="16" t="s">
        <v>143</v>
      </c>
      <c r="P83" s="30">
        <v>450000000</v>
      </c>
      <c r="Q83" s="17" t="s">
        <v>84</v>
      </c>
      <c r="R83" s="18">
        <v>825</v>
      </c>
      <c r="S83" s="16" t="s">
        <v>83</v>
      </c>
      <c r="T83" s="30">
        <v>245000000</v>
      </c>
      <c r="U83" s="20" t="s">
        <v>22</v>
      </c>
      <c r="V83" s="16">
        <v>0</v>
      </c>
      <c r="W83" s="16">
        <v>0</v>
      </c>
      <c r="X83" s="16">
        <v>0</v>
      </c>
      <c r="Y83" s="16">
        <v>60</v>
      </c>
      <c r="Z83" s="16">
        <v>40</v>
      </c>
      <c r="AA83" s="16">
        <v>0</v>
      </c>
      <c r="AB83" s="16">
        <v>0</v>
      </c>
      <c r="AC83" s="16" t="s">
        <v>333</v>
      </c>
      <c r="AD83" s="22">
        <v>38705</v>
      </c>
      <c r="AE83" s="23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</row>
    <row r="84" spans="1:84" s="2" customFormat="1" x14ac:dyDescent="0.2">
      <c r="A84" s="17" t="s">
        <v>3921</v>
      </c>
      <c r="B84" s="17" t="s">
        <v>45</v>
      </c>
      <c r="C84" s="17">
        <v>2025</v>
      </c>
      <c r="D84" s="17" t="str">
        <f t="array" ref="D84">_xlfn.SWITCH(E84,"Bagor","35.18.14","Sukomoro",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4" s="16" t="s">
        <v>29</v>
      </c>
      <c r="F84" s="33" t="s">
        <v>196</v>
      </c>
      <c r="G84" s="33" t="s">
        <v>334</v>
      </c>
      <c r="H84" s="16" t="s">
        <v>47</v>
      </c>
      <c r="I84" s="16">
        <v>4</v>
      </c>
      <c r="J84" s="16">
        <v>0</v>
      </c>
      <c r="K84" s="16">
        <f t="shared" si="1"/>
        <v>4</v>
      </c>
      <c r="L84" s="18">
        <v>118500000</v>
      </c>
      <c r="M84" s="17" t="s">
        <v>72</v>
      </c>
      <c r="N84" s="18">
        <v>40</v>
      </c>
      <c r="O84" s="16" t="s">
        <v>51</v>
      </c>
      <c r="P84" s="30">
        <v>120000000</v>
      </c>
      <c r="Q84" s="17" t="s">
        <v>57</v>
      </c>
      <c r="R84" s="18">
        <v>60</v>
      </c>
      <c r="S84" s="16" t="s">
        <v>51</v>
      </c>
      <c r="T84" s="30">
        <v>57000000</v>
      </c>
      <c r="U84" s="20" t="s">
        <v>22</v>
      </c>
      <c r="V84" s="16">
        <v>0</v>
      </c>
      <c r="W84" s="16">
        <v>0</v>
      </c>
      <c r="X84" s="16">
        <v>0</v>
      </c>
      <c r="Y84" s="16">
        <v>70</v>
      </c>
      <c r="Z84" s="16">
        <v>30</v>
      </c>
      <c r="AA84" s="16">
        <v>0</v>
      </c>
      <c r="AB84" s="16">
        <v>0</v>
      </c>
      <c r="AC84" s="26" t="s">
        <v>335</v>
      </c>
      <c r="AD84" s="34">
        <v>39904</v>
      </c>
      <c r="AE84" s="23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</row>
    <row r="85" spans="1:84" s="2" customFormat="1" x14ac:dyDescent="0.2">
      <c r="A85" s="17" t="s">
        <v>3921</v>
      </c>
      <c r="B85" s="17" t="s">
        <v>45</v>
      </c>
      <c r="C85" s="17">
        <v>2025</v>
      </c>
      <c r="D85" s="17" t="str">
        <f t="array" ref="D85">_xlfn.SWITCH(E85,"Bagor","35.18.14","Sukomoro",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85" s="16" t="s">
        <v>149</v>
      </c>
      <c r="F85" s="33" t="s">
        <v>165</v>
      </c>
      <c r="G85" s="33" t="s">
        <v>336</v>
      </c>
      <c r="H85" s="16" t="s">
        <v>31</v>
      </c>
      <c r="I85" s="16">
        <v>10</v>
      </c>
      <c r="J85" s="16">
        <v>1</v>
      </c>
      <c r="K85" s="16">
        <f t="shared" si="1"/>
        <v>11</v>
      </c>
      <c r="L85" s="18">
        <v>50000000</v>
      </c>
      <c r="M85" s="17" t="s">
        <v>337</v>
      </c>
      <c r="N85" s="18">
        <v>15000</v>
      </c>
      <c r="O85" s="16" t="s">
        <v>143</v>
      </c>
      <c r="P85" s="30">
        <v>100000000</v>
      </c>
      <c r="Q85" s="17" t="s">
        <v>338</v>
      </c>
      <c r="R85" s="18">
        <v>1</v>
      </c>
      <c r="S85" s="16" t="s">
        <v>83</v>
      </c>
      <c r="T85" s="30">
        <v>47500000</v>
      </c>
      <c r="U85" s="20" t="s">
        <v>22</v>
      </c>
      <c r="V85" s="16">
        <v>0</v>
      </c>
      <c r="W85" s="16">
        <v>0</v>
      </c>
      <c r="X85" s="16">
        <v>0</v>
      </c>
      <c r="Y85" s="16">
        <v>50</v>
      </c>
      <c r="Z85" s="16">
        <v>30</v>
      </c>
      <c r="AA85" s="16">
        <v>20</v>
      </c>
      <c r="AB85" s="16">
        <v>0</v>
      </c>
      <c r="AC85" s="16"/>
      <c r="AD85" s="24">
        <v>2004</v>
      </c>
      <c r="AE85" s="23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</row>
    <row r="86" spans="1:84" s="2" customFormat="1" x14ac:dyDescent="0.2">
      <c r="A86" s="17" t="s">
        <v>3921</v>
      </c>
      <c r="B86" s="17" t="s">
        <v>45</v>
      </c>
      <c r="C86" s="17">
        <v>2025</v>
      </c>
      <c r="D86" s="17" t="str">
        <f t="array" ref="D86">_xlfn.SWITCH(E86,"Bagor","35.18.14","Sukomoro",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86" s="16" t="s">
        <v>162</v>
      </c>
      <c r="F86" s="33" t="s">
        <v>339</v>
      </c>
      <c r="G86" s="33" t="s">
        <v>340</v>
      </c>
      <c r="H86" s="16" t="s">
        <v>31</v>
      </c>
      <c r="I86" s="16">
        <v>10</v>
      </c>
      <c r="J86" s="16">
        <v>3</v>
      </c>
      <c r="K86" s="16">
        <f t="shared" si="1"/>
        <v>13</v>
      </c>
      <c r="L86" s="18">
        <v>37500000</v>
      </c>
      <c r="M86" s="17" t="s">
        <v>159</v>
      </c>
      <c r="N86" s="18">
        <v>15000</v>
      </c>
      <c r="O86" s="16" t="s">
        <v>35</v>
      </c>
      <c r="P86" s="30">
        <v>95000000</v>
      </c>
      <c r="Q86" s="17" t="s">
        <v>341</v>
      </c>
      <c r="R86" s="18">
        <v>200</v>
      </c>
      <c r="S86" s="16" t="s">
        <v>35</v>
      </c>
      <c r="T86" s="30">
        <v>40000000</v>
      </c>
      <c r="U86" s="20" t="s">
        <v>22</v>
      </c>
      <c r="V86" s="16" t="s">
        <v>52</v>
      </c>
      <c r="W86" s="16">
        <v>600</v>
      </c>
      <c r="X86" s="16" t="s">
        <v>53</v>
      </c>
      <c r="Y86" s="16">
        <v>65</v>
      </c>
      <c r="Z86" s="16">
        <v>35</v>
      </c>
      <c r="AA86" s="16">
        <v>0</v>
      </c>
      <c r="AB86" s="16">
        <v>0</v>
      </c>
      <c r="AC86" s="16"/>
      <c r="AD86" s="24">
        <v>2004</v>
      </c>
      <c r="AE86" s="23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</row>
    <row r="87" spans="1:84" s="2" customFormat="1" x14ac:dyDescent="0.2">
      <c r="A87" s="17" t="s">
        <v>3921</v>
      </c>
      <c r="B87" s="17" t="s">
        <v>45</v>
      </c>
      <c r="C87" s="17">
        <v>2025</v>
      </c>
      <c r="D87" s="17" t="str">
        <f t="array" ref="D87">_xlfn.SWITCH(E87,"Bagor","35.18.14","Sukomoro",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87" s="16" t="s">
        <v>92</v>
      </c>
      <c r="F87" s="33" t="s">
        <v>342</v>
      </c>
      <c r="G87" s="33" t="s">
        <v>343</v>
      </c>
      <c r="H87" s="16" t="s">
        <v>47</v>
      </c>
      <c r="I87" s="16">
        <v>3</v>
      </c>
      <c r="J87" s="16">
        <v>7</v>
      </c>
      <c r="K87" s="16">
        <f t="shared" si="1"/>
        <v>10</v>
      </c>
      <c r="L87" s="18">
        <v>274700000</v>
      </c>
      <c r="M87" s="17" t="s">
        <v>48</v>
      </c>
      <c r="N87" s="18">
        <v>160</v>
      </c>
      <c r="O87" s="16" t="s">
        <v>49</v>
      </c>
      <c r="P87" s="30">
        <v>104000000</v>
      </c>
      <c r="Q87" s="17" t="s">
        <v>57</v>
      </c>
      <c r="R87" s="18">
        <v>240</v>
      </c>
      <c r="S87" s="16" t="s">
        <v>51</v>
      </c>
      <c r="T87" s="30">
        <v>60000000</v>
      </c>
      <c r="U87" s="20" t="s">
        <v>22</v>
      </c>
      <c r="V87" s="16" t="s">
        <v>52</v>
      </c>
      <c r="W87" s="16">
        <v>900</v>
      </c>
      <c r="X87" s="16" t="s">
        <v>53</v>
      </c>
      <c r="Y87" s="16">
        <v>70</v>
      </c>
      <c r="Z87" s="16">
        <v>30</v>
      </c>
      <c r="AA87" s="16">
        <v>0</v>
      </c>
      <c r="AB87" s="16">
        <v>0</v>
      </c>
      <c r="AC87" s="16"/>
      <c r="AD87" s="24">
        <v>2004</v>
      </c>
      <c r="AE87" s="23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</row>
    <row r="88" spans="1:84" s="2" customFormat="1" x14ac:dyDescent="0.2">
      <c r="A88" s="17" t="s">
        <v>3921</v>
      </c>
      <c r="B88" s="17" t="s">
        <v>45</v>
      </c>
      <c r="C88" s="17">
        <v>2025</v>
      </c>
      <c r="D88" s="17" t="str">
        <f t="array" ref="D88">_xlfn.SWITCH(E88,"Jatikalen","35.18.20","Kertosono", "35.18.08","Lengkong","35.18.19","Loceret","35.18.04","Tanjunganom","35.18.11","Wilangan","35.18.15")</f>
        <v>35.18.11</v>
      </c>
      <c r="E88" s="16" t="s">
        <v>60</v>
      </c>
      <c r="F88" s="33" t="s">
        <v>344</v>
      </c>
      <c r="G88" s="33" t="s">
        <v>345</v>
      </c>
      <c r="H88" s="16" t="s">
        <v>47</v>
      </c>
      <c r="I88" s="16">
        <v>3</v>
      </c>
      <c r="J88" s="16">
        <v>10</v>
      </c>
      <c r="K88" s="16">
        <f t="shared" si="1"/>
        <v>13</v>
      </c>
      <c r="L88" s="18">
        <v>30000000</v>
      </c>
      <c r="M88" s="17" t="s">
        <v>48</v>
      </c>
      <c r="N88" s="18">
        <v>142</v>
      </c>
      <c r="O88" s="16" t="s">
        <v>49</v>
      </c>
      <c r="P88" s="30">
        <v>774000000</v>
      </c>
      <c r="Q88" s="17" t="s">
        <v>212</v>
      </c>
      <c r="R88" s="18">
        <v>90</v>
      </c>
      <c r="S88" s="16" t="s">
        <v>51</v>
      </c>
      <c r="T88" s="30">
        <v>258000000</v>
      </c>
      <c r="U88" s="20" t="s">
        <v>22</v>
      </c>
      <c r="V88" s="16">
        <v>0</v>
      </c>
      <c r="W88" s="16">
        <v>0</v>
      </c>
      <c r="X88" s="16">
        <v>0</v>
      </c>
      <c r="Y88" s="16">
        <v>65</v>
      </c>
      <c r="Z88" s="16">
        <v>35</v>
      </c>
      <c r="AA88" s="16">
        <v>0</v>
      </c>
      <c r="AB88" s="16">
        <v>0</v>
      </c>
      <c r="AC88" s="16"/>
      <c r="AD88" s="24">
        <v>2004</v>
      </c>
      <c r="AE88" s="23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</row>
    <row r="89" spans="1:84" s="2" customFormat="1" x14ac:dyDescent="0.2">
      <c r="A89" s="17" t="s">
        <v>3921</v>
      </c>
      <c r="B89" s="17" t="s">
        <v>45</v>
      </c>
      <c r="C89" s="17">
        <v>2025</v>
      </c>
      <c r="D89" s="17" t="str">
        <f t="array" ref="D89">_xlfn.SWITCH(E89,"Jatikalen","35.18.20","Kertosono", "35.18.08","Lengkong","35.18.19","Loceret","35.18.04","Tanjunganom","35.18.11","Wilangan","35.18.15")</f>
        <v>35.18.11</v>
      </c>
      <c r="E89" s="16" t="s">
        <v>60</v>
      </c>
      <c r="F89" s="33" t="s">
        <v>346</v>
      </c>
      <c r="G89" s="33" t="s">
        <v>347</v>
      </c>
      <c r="H89" s="16" t="s">
        <v>348</v>
      </c>
      <c r="I89" s="16">
        <v>14</v>
      </c>
      <c r="J89" s="16">
        <v>35</v>
      </c>
      <c r="K89" s="16">
        <f t="shared" si="1"/>
        <v>49</v>
      </c>
      <c r="L89" s="18">
        <v>150000000</v>
      </c>
      <c r="M89" s="17" t="s">
        <v>349</v>
      </c>
      <c r="N89" s="18">
        <v>45000</v>
      </c>
      <c r="O89" s="16" t="s">
        <v>35</v>
      </c>
      <c r="P89" s="30">
        <v>1125000000</v>
      </c>
      <c r="Q89" s="17" t="s">
        <v>173</v>
      </c>
      <c r="R89" s="18">
        <v>2300</v>
      </c>
      <c r="S89" s="16" t="s">
        <v>35</v>
      </c>
      <c r="T89" s="30">
        <v>37500000</v>
      </c>
      <c r="U89" s="20" t="s">
        <v>22</v>
      </c>
      <c r="V89" s="16" t="s">
        <v>350</v>
      </c>
      <c r="W89" s="16">
        <v>3600</v>
      </c>
      <c r="X89" s="16" t="s">
        <v>143</v>
      </c>
      <c r="Y89" s="16">
        <v>80</v>
      </c>
      <c r="Z89" s="16">
        <v>20</v>
      </c>
      <c r="AA89" s="16">
        <v>0</v>
      </c>
      <c r="AB89" s="16">
        <v>0</v>
      </c>
      <c r="AC89" s="16"/>
      <c r="AD89" s="24">
        <v>2007</v>
      </c>
      <c r="AE89" s="23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</row>
    <row r="90" spans="1:84" s="2" customFormat="1" x14ac:dyDescent="0.2">
      <c r="A90" s="17" t="s">
        <v>3921</v>
      </c>
      <c r="B90" s="17" t="s">
        <v>45</v>
      </c>
      <c r="C90" s="17">
        <v>2025</v>
      </c>
      <c r="D90" s="17" t="str">
        <f t="array" ref="D90">_xlfn.SWITCH(E90,"Bagor","35.18.14","Sukomoro",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0" s="16" t="s">
        <v>103</v>
      </c>
      <c r="F90" s="33" t="s">
        <v>245</v>
      </c>
      <c r="G90" s="33" t="s">
        <v>351</v>
      </c>
      <c r="H90" s="16" t="s">
        <v>47</v>
      </c>
      <c r="I90" s="16">
        <v>4</v>
      </c>
      <c r="J90" s="16">
        <v>11</v>
      </c>
      <c r="K90" s="16">
        <f t="shared" si="1"/>
        <v>15</v>
      </c>
      <c r="L90" s="18">
        <v>92137000</v>
      </c>
      <c r="M90" s="17" t="s">
        <v>108</v>
      </c>
      <c r="N90" s="18">
        <v>46</v>
      </c>
      <c r="O90" s="16" t="s">
        <v>49</v>
      </c>
      <c r="P90" s="30">
        <v>474400000</v>
      </c>
      <c r="Q90" s="17" t="s">
        <v>212</v>
      </c>
      <c r="R90" s="18">
        <v>30</v>
      </c>
      <c r="S90" s="16" t="s">
        <v>51</v>
      </c>
      <c r="T90" s="30">
        <v>224000000</v>
      </c>
      <c r="U90" s="20" t="s">
        <v>22</v>
      </c>
      <c r="V90" s="16">
        <v>0</v>
      </c>
      <c r="W90" s="16">
        <v>0</v>
      </c>
      <c r="X90" s="16">
        <v>0</v>
      </c>
      <c r="Y90" s="16">
        <v>65</v>
      </c>
      <c r="Z90" s="16">
        <v>35</v>
      </c>
      <c r="AA90" s="16">
        <v>0</v>
      </c>
      <c r="AB90" s="16">
        <v>0</v>
      </c>
      <c r="AC90" s="16"/>
      <c r="AD90" s="24">
        <v>2003</v>
      </c>
      <c r="AE90" s="23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</row>
    <row r="91" spans="1:84" s="2" customFormat="1" x14ac:dyDescent="0.2">
      <c r="A91" s="17" t="s">
        <v>3921</v>
      </c>
      <c r="B91" s="17" t="s">
        <v>45</v>
      </c>
      <c r="C91" s="17">
        <v>2025</v>
      </c>
      <c r="D91" s="17" t="str">
        <f t="array" ref="D91">_xlfn.SWITCH(E91,"Bagor","35.18.14","Sukomoro",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91" s="16" t="s">
        <v>71</v>
      </c>
      <c r="F91" s="33" t="s">
        <v>352</v>
      </c>
      <c r="G91" s="33" t="s">
        <v>353</v>
      </c>
      <c r="H91" s="16" t="s">
        <v>47</v>
      </c>
      <c r="I91" s="16">
        <v>5</v>
      </c>
      <c r="J91" s="16">
        <v>1</v>
      </c>
      <c r="K91" s="16">
        <f t="shared" si="1"/>
        <v>6</v>
      </c>
      <c r="L91" s="18">
        <v>44000000</v>
      </c>
      <c r="M91" s="17" t="s">
        <v>354</v>
      </c>
      <c r="N91" s="18">
        <v>4500</v>
      </c>
      <c r="O91" s="16" t="s">
        <v>35</v>
      </c>
      <c r="P91" s="30">
        <v>2375000000</v>
      </c>
      <c r="Q91" s="17" t="s">
        <v>355</v>
      </c>
      <c r="R91" s="18">
        <v>225</v>
      </c>
      <c r="S91" s="16" t="s">
        <v>83</v>
      </c>
      <c r="T91" s="30">
        <v>925000000</v>
      </c>
      <c r="U91" s="20" t="s">
        <v>22</v>
      </c>
      <c r="V91" s="16" t="s">
        <v>57</v>
      </c>
      <c r="W91" s="16">
        <v>200</v>
      </c>
      <c r="X91" s="16" t="s">
        <v>51</v>
      </c>
      <c r="Y91" s="16">
        <v>50</v>
      </c>
      <c r="Z91" s="16">
        <v>50</v>
      </c>
      <c r="AA91" s="16">
        <v>0</v>
      </c>
      <c r="AB91" s="16">
        <v>0</v>
      </c>
      <c r="AC91" s="16" t="s">
        <v>356</v>
      </c>
      <c r="AD91" s="22">
        <v>39637</v>
      </c>
      <c r="AE91" s="23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</row>
    <row r="92" spans="1:84" s="2" customFormat="1" x14ac:dyDescent="0.2">
      <c r="A92" s="17" t="s">
        <v>3921</v>
      </c>
      <c r="B92" s="17" t="s">
        <v>45</v>
      </c>
      <c r="C92" s="17">
        <v>2025</v>
      </c>
      <c r="D92" s="17" t="str">
        <f t="array" ref="D92">_xlfn.SWITCH(E92,"Bagor","35.18.14","Sukomoro",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2" s="16" t="s">
        <v>29</v>
      </c>
      <c r="F92" s="33" t="s">
        <v>196</v>
      </c>
      <c r="G92" s="33" t="s">
        <v>357</v>
      </c>
      <c r="H92" s="16" t="s">
        <v>47</v>
      </c>
      <c r="I92" s="16">
        <v>2</v>
      </c>
      <c r="J92" s="16">
        <v>6</v>
      </c>
      <c r="K92" s="16">
        <f t="shared" si="1"/>
        <v>8</v>
      </c>
      <c r="L92" s="18">
        <v>70000000</v>
      </c>
      <c r="M92" s="17" t="s">
        <v>108</v>
      </c>
      <c r="N92" s="18">
        <v>120</v>
      </c>
      <c r="O92" s="16" t="s">
        <v>49</v>
      </c>
      <c r="P92" s="30">
        <v>639000000</v>
      </c>
      <c r="Q92" s="17" t="s">
        <v>212</v>
      </c>
      <c r="R92" s="18">
        <v>30</v>
      </c>
      <c r="S92" s="16" t="s">
        <v>51</v>
      </c>
      <c r="T92" s="30">
        <v>213000000</v>
      </c>
      <c r="U92" s="20" t="s">
        <v>22</v>
      </c>
      <c r="V92" s="16">
        <v>0</v>
      </c>
      <c r="W92" s="16">
        <v>0</v>
      </c>
      <c r="X92" s="16">
        <v>0</v>
      </c>
      <c r="Y92" s="16">
        <v>60</v>
      </c>
      <c r="Z92" s="16">
        <v>40</v>
      </c>
      <c r="AA92" s="16">
        <v>0</v>
      </c>
      <c r="AB92" s="16">
        <v>0</v>
      </c>
      <c r="AC92" s="16"/>
      <c r="AD92" s="24">
        <v>2003</v>
      </c>
      <c r="AE92" s="23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</row>
    <row r="93" spans="1:84" s="2" customFormat="1" x14ac:dyDescent="0.2">
      <c r="A93" s="17" t="s">
        <v>3921</v>
      </c>
      <c r="B93" s="17" t="s">
        <v>45</v>
      </c>
      <c r="C93" s="17">
        <v>2025</v>
      </c>
      <c r="D93" s="17" t="str">
        <f t="array" ref="D93">_xlfn.SWITCH(E93,"Bagor","35.18.14","Sukomoro",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93" s="16" t="s">
        <v>71</v>
      </c>
      <c r="F93" s="33" t="s">
        <v>358</v>
      </c>
      <c r="G93" s="33" t="s">
        <v>359</v>
      </c>
      <c r="H93" s="16" t="s">
        <v>31</v>
      </c>
      <c r="I93" s="16">
        <v>1</v>
      </c>
      <c r="J93" s="16">
        <v>4</v>
      </c>
      <c r="K93" s="16">
        <f t="shared" si="1"/>
        <v>5</v>
      </c>
      <c r="L93" s="18">
        <v>10000000</v>
      </c>
      <c r="M93" s="17" t="s">
        <v>172</v>
      </c>
      <c r="N93" s="18">
        <v>51</v>
      </c>
      <c r="O93" s="16" t="s">
        <v>83</v>
      </c>
      <c r="P93" s="30">
        <v>78650000</v>
      </c>
      <c r="Q93" s="17" t="s">
        <v>173</v>
      </c>
      <c r="R93" s="18">
        <v>18</v>
      </c>
      <c r="S93" s="16" t="s">
        <v>83</v>
      </c>
      <c r="T93" s="30">
        <v>45000000</v>
      </c>
      <c r="U93" s="20" t="s">
        <v>22</v>
      </c>
      <c r="V93" s="16" t="s">
        <v>57</v>
      </c>
      <c r="W93" s="16">
        <v>180</v>
      </c>
      <c r="X93" s="16" t="s">
        <v>51</v>
      </c>
      <c r="Y93" s="16">
        <v>100</v>
      </c>
      <c r="Z93" s="16">
        <v>0</v>
      </c>
      <c r="AA93" s="16">
        <v>0</v>
      </c>
      <c r="AB93" s="16">
        <v>0</v>
      </c>
      <c r="AC93" s="16"/>
      <c r="AD93" s="24">
        <v>2003</v>
      </c>
      <c r="AE93" s="23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</row>
    <row r="94" spans="1:84" s="2" customFormat="1" x14ac:dyDescent="0.2">
      <c r="A94" s="17" t="s">
        <v>3921</v>
      </c>
      <c r="B94" s="17" t="s">
        <v>45</v>
      </c>
      <c r="C94" s="17">
        <v>2025</v>
      </c>
      <c r="D94" s="17" t="str">
        <f t="array" ref="D94">_xlfn.SWITCH(E94,"Bagor","35.18.14","Sukomoro",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4" s="16" t="s">
        <v>114</v>
      </c>
      <c r="F94" s="33" t="s">
        <v>360</v>
      </c>
      <c r="G94" s="33" t="s">
        <v>361</v>
      </c>
      <c r="H94" s="16" t="s">
        <v>47</v>
      </c>
      <c r="I94" s="16">
        <v>1</v>
      </c>
      <c r="J94" s="16">
        <v>6</v>
      </c>
      <c r="K94" s="16">
        <f t="shared" si="1"/>
        <v>7</v>
      </c>
      <c r="L94" s="18">
        <v>143950000</v>
      </c>
      <c r="M94" s="17" t="s">
        <v>48</v>
      </c>
      <c r="N94" s="18">
        <v>30</v>
      </c>
      <c r="O94" s="16" t="s">
        <v>51</v>
      </c>
      <c r="P94" s="30">
        <v>119000000</v>
      </c>
      <c r="Q94" s="17" t="s">
        <v>57</v>
      </c>
      <c r="R94" s="18">
        <v>60</v>
      </c>
      <c r="S94" s="16" t="s">
        <v>51</v>
      </c>
      <c r="T94" s="30">
        <v>60000000</v>
      </c>
      <c r="U94" s="20" t="s">
        <v>22</v>
      </c>
      <c r="V94" s="16">
        <v>0</v>
      </c>
      <c r="W94" s="16">
        <v>0</v>
      </c>
      <c r="X94" s="16">
        <v>0</v>
      </c>
      <c r="Y94" s="16">
        <v>70</v>
      </c>
      <c r="Z94" s="16">
        <v>30</v>
      </c>
      <c r="AA94" s="16">
        <v>0</v>
      </c>
      <c r="AB94" s="16">
        <v>0</v>
      </c>
      <c r="AC94" s="16"/>
      <c r="AD94" s="24">
        <v>2003</v>
      </c>
      <c r="AE94" s="23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</row>
    <row r="95" spans="1:84" s="2" customFormat="1" x14ac:dyDescent="0.2">
      <c r="A95" s="17" t="s">
        <v>3921</v>
      </c>
      <c r="B95" s="17" t="s">
        <v>45</v>
      </c>
      <c r="C95" s="17">
        <v>2025</v>
      </c>
      <c r="D95" s="17" t="str">
        <f t="array" ref="D95">_xlfn.SWITCH(E95,"Bagor","35.18.14","Sukomoro",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5" s="16" t="s">
        <v>114</v>
      </c>
      <c r="F95" s="33" t="s">
        <v>113</v>
      </c>
      <c r="G95" s="17" t="s">
        <v>362</v>
      </c>
      <c r="H95" s="16" t="s">
        <v>31</v>
      </c>
      <c r="I95" s="16">
        <v>4</v>
      </c>
      <c r="J95" s="16">
        <v>12</v>
      </c>
      <c r="K95" s="16">
        <f t="shared" si="1"/>
        <v>16</v>
      </c>
      <c r="L95" s="18">
        <v>75000000</v>
      </c>
      <c r="M95" s="17" t="s">
        <v>32</v>
      </c>
      <c r="N95" s="18">
        <v>4750000</v>
      </c>
      <c r="O95" s="16" t="s">
        <v>33</v>
      </c>
      <c r="P95" s="30">
        <v>1776500000</v>
      </c>
      <c r="Q95" s="17" t="s">
        <v>34</v>
      </c>
      <c r="R95" s="35">
        <v>475</v>
      </c>
      <c r="S95" s="16" t="s">
        <v>35</v>
      </c>
      <c r="T95" s="36">
        <v>484760000</v>
      </c>
      <c r="U95" s="20" t="s">
        <v>22</v>
      </c>
      <c r="V95" s="16">
        <v>0</v>
      </c>
      <c r="W95" s="16">
        <v>0</v>
      </c>
      <c r="X95" s="16">
        <v>0</v>
      </c>
      <c r="Y95" s="16">
        <v>45</v>
      </c>
      <c r="Z95" s="16">
        <v>30</v>
      </c>
      <c r="AA95" s="16">
        <v>25</v>
      </c>
      <c r="AB95" s="16">
        <v>0</v>
      </c>
      <c r="AC95" s="16" t="s">
        <v>363</v>
      </c>
      <c r="AD95" s="22">
        <v>39352</v>
      </c>
      <c r="AE95" s="23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</row>
    <row r="96" spans="1:84" s="2" customFormat="1" x14ac:dyDescent="0.2">
      <c r="A96" s="17" t="s">
        <v>3921</v>
      </c>
      <c r="B96" s="17" t="s">
        <v>45</v>
      </c>
      <c r="C96" s="17">
        <v>2025</v>
      </c>
      <c r="D96" s="17" t="str">
        <f t="array" ref="D96">_xlfn.SWITCH(E96,"Bagor","35.18.14","Sukomoro",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6" s="16" t="s">
        <v>114</v>
      </c>
      <c r="F96" s="17" t="s">
        <v>364</v>
      </c>
      <c r="G96" s="17" t="s">
        <v>365</v>
      </c>
      <c r="H96" s="16" t="s">
        <v>31</v>
      </c>
      <c r="I96" s="16">
        <v>3</v>
      </c>
      <c r="J96" s="16">
        <v>10</v>
      </c>
      <c r="K96" s="16">
        <f t="shared" si="1"/>
        <v>13</v>
      </c>
      <c r="L96" s="36">
        <v>95000000</v>
      </c>
      <c r="M96" s="17" t="s">
        <v>32</v>
      </c>
      <c r="N96" s="18">
        <v>6000000</v>
      </c>
      <c r="O96" s="16" t="s">
        <v>33</v>
      </c>
      <c r="P96" s="30">
        <f>N96*260</f>
        <v>1560000000</v>
      </c>
      <c r="Q96" s="17" t="s">
        <v>34</v>
      </c>
      <c r="R96" s="35">
        <v>615</v>
      </c>
      <c r="S96" s="16" t="s">
        <v>35</v>
      </c>
      <c r="T96" s="36">
        <v>552100000</v>
      </c>
      <c r="U96" s="20" t="s">
        <v>22</v>
      </c>
      <c r="V96" s="16">
        <v>0</v>
      </c>
      <c r="W96" s="16">
        <v>0</v>
      </c>
      <c r="X96" s="16">
        <v>0</v>
      </c>
      <c r="Y96" s="16">
        <v>40</v>
      </c>
      <c r="Z96" s="16">
        <v>35</v>
      </c>
      <c r="AA96" s="16">
        <v>25</v>
      </c>
      <c r="AB96" s="16">
        <v>0</v>
      </c>
      <c r="AC96" s="26" t="s">
        <v>366</v>
      </c>
      <c r="AD96" s="27" t="s">
        <v>117</v>
      </c>
      <c r="AE96" s="23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</row>
    <row r="97" spans="1:84" s="2" customFormat="1" x14ac:dyDescent="0.2">
      <c r="A97" s="17" t="s">
        <v>3921</v>
      </c>
      <c r="B97" s="17" t="s">
        <v>45</v>
      </c>
      <c r="C97" s="17">
        <v>2025</v>
      </c>
      <c r="D97" s="17" t="str">
        <f t="array" ref="D97">_xlfn.SWITCH(E97,"Bagor","35.18.14","Sukomoro",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7" s="16" t="s">
        <v>114</v>
      </c>
      <c r="F97" s="17" t="s">
        <v>360</v>
      </c>
      <c r="G97" s="17" t="s">
        <v>367</v>
      </c>
      <c r="H97" s="16" t="s">
        <v>31</v>
      </c>
      <c r="I97" s="16">
        <v>1</v>
      </c>
      <c r="J97" s="16">
        <v>6</v>
      </c>
      <c r="K97" s="16">
        <f t="shared" si="1"/>
        <v>7</v>
      </c>
      <c r="L97" s="36">
        <v>158820000</v>
      </c>
      <c r="M97" s="17" t="s">
        <v>32</v>
      </c>
      <c r="N97" s="18">
        <v>15000000</v>
      </c>
      <c r="O97" s="16" t="s">
        <v>33</v>
      </c>
      <c r="P97" s="30">
        <v>5610000000</v>
      </c>
      <c r="Q97" s="17" t="s">
        <v>34</v>
      </c>
      <c r="R97" s="35">
        <v>1500</v>
      </c>
      <c r="S97" s="16" t="s">
        <v>35</v>
      </c>
      <c r="T97" s="36">
        <v>1760195000</v>
      </c>
      <c r="U97" s="20" t="s">
        <v>22</v>
      </c>
      <c r="V97" s="16">
        <v>0</v>
      </c>
      <c r="W97" s="16">
        <v>0</v>
      </c>
      <c r="X97" s="16">
        <v>0</v>
      </c>
      <c r="Y97" s="16">
        <v>45</v>
      </c>
      <c r="Z97" s="16">
        <v>30</v>
      </c>
      <c r="AA97" s="16">
        <v>25</v>
      </c>
      <c r="AB97" s="16">
        <v>0</v>
      </c>
      <c r="AC97" s="37" t="s">
        <v>368</v>
      </c>
      <c r="AD97" s="27" t="s">
        <v>369</v>
      </c>
      <c r="AE97" s="23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</row>
    <row r="98" spans="1:84" s="2" customFormat="1" x14ac:dyDescent="0.2">
      <c r="A98" s="17" t="s">
        <v>3921</v>
      </c>
      <c r="B98" s="17" t="s">
        <v>45</v>
      </c>
      <c r="C98" s="17">
        <v>2025</v>
      </c>
      <c r="D98" s="17" t="str">
        <f t="array" ref="D98">_xlfn.SWITCH(E98,"Bagor","35.18.14","Sukomoro",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8" s="16" t="s">
        <v>114</v>
      </c>
      <c r="F98" s="17" t="s">
        <v>370</v>
      </c>
      <c r="G98" s="17" t="s">
        <v>371</v>
      </c>
      <c r="H98" s="16" t="s">
        <v>31</v>
      </c>
      <c r="I98" s="16">
        <v>2</v>
      </c>
      <c r="J98" s="16">
        <v>10</v>
      </c>
      <c r="K98" s="16">
        <f t="shared" si="1"/>
        <v>12</v>
      </c>
      <c r="L98" s="36">
        <v>40000000</v>
      </c>
      <c r="M98" s="17" t="s">
        <v>32</v>
      </c>
      <c r="N98" s="18">
        <v>1200000</v>
      </c>
      <c r="O98" s="16" t="s">
        <v>33</v>
      </c>
      <c r="P98" s="30">
        <f>N98*280</f>
        <v>336000000</v>
      </c>
      <c r="Q98" s="17" t="s">
        <v>34</v>
      </c>
      <c r="R98" s="35">
        <v>135</v>
      </c>
      <c r="S98" s="16" t="s">
        <v>35</v>
      </c>
      <c r="T98" s="36">
        <v>115328500</v>
      </c>
      <c r="U98" s="20" t="s">
        <v>22</v>
      </c>
      <c r="V98" s="16">
        <v>0</v>
      </c>
      <c r="W98" s="16">
        <v>0</v>
      </c>
      <c r="X98" s="16">
        <v>0</v>
      </c>
      <c r="Y98" s="16">
        <v>40</v>
      </c>
      <c r="Z98" s="16">
        <v>35</v>
      </c>
      <c r="AA98" s="16">
        <v>25</v>
      </c>
      <c r="AB98" s="16">
        <v>0</v>
      </c>
      <c r="AC98" s="26" t="s">
        <v>372</v>
      </c>
      <c r="AD98" s="27" t="s">
        <v>373</v>
      </c>
      <c r="AE98" s="23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</row>
    <row r="99" spans="1:84" s="2" customFormat="1" x14ac:dyDescent="0.2">
      <c r="A99" s="17" t="s">
        <v>3921</v>
      </c>
      <c r="B99" s="17" t="s">
        <v>45</v>
      </c>
      <c r="C99" s="17">
        <v>2025</v>
      </c>
      <c r="D99" s="17" t="str">
        <f t="array" ref="D99">_xlfn.SWITCH(E99,"Bagor","35.18.14","Sukomoro",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99" s="16" t="s">
        <v>162</v>
      </c>
      <c r="F99" s="17" t="s">
        <v>374</v>
      </c>
      <c r="G99" s="17" t="s">
        <v>375</v>
      </c>
      <c r="H99" s="16" t="s">
        <v>47</v>
      </c>
      <c r="I99" s="16">
        <v>5</v>
      </c>
      <c r="J99" s="16">
        <v>6</v>
      </c>
      <c r="K99" s="16">
        <f t="shared" si="1"/>
        <v>11</v>
      </c>
      <c r="L99" s="18">
        <v>34200000</v>
      </c>
      <c r="M99" s="17" t="s">
        <v>376</v>
      </c>
      <c r="N99" s="36">
        <v>3750</v>
      </c>
      <c r="O99" s="16" t="s">
        <v>377</v>
      </c>
      <c r="P99" s="18">
        <v>37500000</v>
      </c>
      <c r="Q99" s="17" t="s">
        <v>173</v>
      </c>
      <c r="R99" s="35">
        <v>2125</v>
      </c>
      <c r="S99" s="16" t="s">
        <v>35</v>
      </c>
      <c r="T99" s="36">
        <v>13175000</v>
      </c>
      <c r="U99" s="20" t="s">
        <v>22</v>
      </c>
      <c r="V99" s="16" t="s">
        <v>52</v>
      </c>
      <c r="W99" s="16">
        <v>10000</v>
      </c>
      <c r="X99" s="16" t="s">
        <v>53</v>
      </c>
      <c r="Y99" s="16">
        <v>60</v>
      </c>
      <c r="Z99" s="16">
        <v>40</v>
      </c>
      <c r="AA99" s="16">
        <v>0</v>
      </c>
      <c r="AB99" s="16">
        <v>0</v>
      </c>
      <c r="AC99" s="16"/>
      <c r="AD99" s="24">
        <v>2003</v>
      </c>
      <c r="AE99" s="23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</row>
    <row r="100" spans="1:84" s="2" customFormat="1" x14ac:dyDescent="0.2">
      <c r="A100" s="17" t="s">
        <v>3921</v>
      </c>
      <c r="B100" s="17" t="s">
        <v>45</v>
      </c>
      <c r="C100" s="17">
        <v>2025</v>
      </c>
      <c r="D100" s="17" t="str">
        <f t="array" ref="D100">_xlfn.SWITCH(E100,"Bagor","35.18.14","Sukomoro",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0" s="16" t="s">
        <v>162</v>
      </c>
      <c r="F100" s="17" t="s">
        <v>328</v>
      </c>
      <c r="G100" s="17" t="s">
        <v>378</v>
      </c>
      <c r="H100" s="16" t="s">
        <v>47</v>
      </c>
      <c r="I100" s="16">
        <v>1</v>
      </c>
      <c r="J100" s="16">
        <v>7</v>
      </c>
      <c r="K100" s="16">
        <f t="shared" si="1"/>
        <v>8</v>
      </c>
      <c r="L100" s="18">
        <v>140560000</v>
      </c>
      <c r="M100" s="17" t="s">
        <v>48</v>
      </c>
      <c r="N100" s="36">
        <v>22</v>
      </c>
      <c r="O100" s="16" t="s">
        <v>51</v>
      </c>
      <c r="P100" s="18">
        <v>79375000</v>
      </c>
      <c r="Q100" s="17" t="s">
        <v>57</v>
      </c>
      <c r="R100" s="35">
        <v>12</v>
      </c>
      <c r="S100" s="16" t="s">
        <v>51</v>
      </c>
      <c r="T100" s="36">
        <v>36000000</v>
      </c>
      <c r="U100" s="20" t="s">
        <v>22</v>
      </c>
      <c r="V100" s="16">
        <v>0</v>
      </c>
      <c r="W100" s="16">
        <v>0</v>
      </c>
      <c r="X100" s="16">
        <v>0</v>
      </c>
      <c r="Y100" s="16">
        <v>60</v>
      </c>
      <c r="Z100" s="16">
        <v>40</v>
      </c>
      <c r="AA100" s="16">
        <v>0</v>
      </c>
      <c r="AB100" s="16">
        <v>0</v>
      </c>
      <c r="AC100" s="16"/>
      <c r="AD100" s="24">
        <v>2003</v>
      </c>
      <c r="AE100" s="23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</row>
    <row r="101" spans="1:84" s="2" customFormat="1" x14ac:dyDescent="0.2">
      <c r="A101" s="17" t="s">
        <v>3921</v>
      </c>
      <c r="B101" s="17" t="s">
        <v>45</v>
      </c>
      <c r="C101" s="17">
        <v>2025</v>
      </c>
      <c r="D101" s="17" t="str">
        <f t="array" ref="D101">_xlfn.SWITCH(E101,"Jatikalen","35.18.20","Kertosono", "35.18.08","Lengkong","35.18.19","Loceret","35.18.04","Tanjunganom","35.18.11","Wilangan","35.18.15")</f>
        <v>35.18.04</v>
      </c>
      <c r="E101" s="16" t="s">
        <v>41</v>
      </c>
      <c r="F101" s="33" t="s">
        <v>379</v>
      </c>
      <c r="G101" s="17" t="s">
        <v>380</v>
      </c>
      <c r="H101" s="16" t="s">
        <v>47</v>
      </c>
      <c r="I101" s="16">
        <v>6</v>
      </c>
      <c r="J101" s="16">
        <v>8</v>
      </c>
      <c r="K101" s="16">
        <f t="shared" si="1"/>
        <v>14</v>
      </c>
      <c r="L101" s="36">
        <v>50000000</v>
      </c>
      <c r="M101" s="17" t="s">
        <v>381</v>
      </c>
      <c r="N101" s="18">
        <v>75000</v>
      </c>
      <c r="O101" s="16" t="s">
        <v>382</v>
      </c>
      <c r="P101" s="18">
        <v>175000000</v>
      </c>
      <c r="Q101" s="17" t="s">
        <v>383</v>
      </c>
      <c r="R101" s="18">
        <v>42000</v>
      </c>
      <c r="S101" s="16" t="s">
        <v>382</v>
      </c>
      <c r="T101" s="36">
        <v>85200000</v>
      </c>
      <c r="U101" s="20" t="s">
        <v>22</v>
      </c>
      <c r="V101" s="16">
        <v>0</v>
      </c>
      <c r="W101" s="16">
        <v>0</v>
      </c>
      <c r="X101" s="16">
        <v>0</v>
      </c>
      <c r="Y101" s="16">
        <v>70</v>
      </c>
      <c r="Z101" s="16">
        <v>30</v>
      </c>
      <c r="AA101" s="16">
        <v>0</v>
      </c>
      <c r="AB101" s="16">
        <v>0</v>
      </c>
      <c r="AC101" s="16"/>
      <c r="AD101" s="11">
        <v>2003</v>
      </c>
      <c r="AE101" s="23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</row>
    <row r="102" spans="1:84" s="2" customFormat="1" x14ac:dyDescent="0.2">
      <c r="A102" s="17" t="s">
        <v>3921</v>
      </c>
      <c r="B102" s="17" t="s">
        <v>45</v>
      </c>
      <c r="C102" s="17">
        <v>2025</v>
      </c>
      <c r="D102" s="17" t="str">
        <f t="array" ref="D102">_xlfn.SWITCH(E102,"Jatikalen","35.18.20","Kertosono", "35.18.08","Lengkong","35.18.19","Loceret","35.18.04","Tanjunganom","35.18.11","Wilangan","35.18.15")</f>
        <v>35.18.04</v>
      </c>
      <c r="E102" s="16" t="s">
        <v>41</v>
      </c>
      <c r="F102" s="33" t="s">
        <v>384</v>
      </c>
      <c r="G102" s="17" t="s">
        <v>385</v>
      </c>
      <c r="H102" s="16" t="s">
        <v>47</v>
      </c>
      <c r="I102" s="16">
        <v>36</v>
      </c>
      <c r="J102" s="16">
        <v>15</v>
      </c>
      <c r="K102" s="16">
        <f t="shared" si="1"/>
        <v>51</v>
      </c>
      <c r="L102" s="36">
        <v>75000000</v>
      </c>
      <c r="M102" s="17" t="s">
        <v>258</v>
      </c>
      <c r="N102" s="18">
        <v>38700</v>
      </c>
      <c r="O102" s="16" t="s">
        <v>259</v>
      </c>
      <c r="P102" s="18">
        <v>1141650000</v>
      </c>
      <c r="Q102" s="17" t="s">
        <v>260</v>
      </c>
      <c r="R102" s="18" t="s">
        <v>386</v>
      </c>
      <c r="S102" s="16" t="s">
        <v>268</v>
      </c>
      <c r="T102" s="36">
        <v>393500000</v>
      </c>
      <c r="U102" s="20" t="s">
        <v>262</v>
      </c>
      <c r="V102" s="16">
        <v>0</v>
      </c>
      <c r="W102" s="16">
        <v>0</v>
      </c>
      <c r="X102" s="16">
        <v>0</v>
      </c>
      <c r="Y102" s="16">
        <v>30</v>
      </c>
      <c r="Z102" s="16">
        <v>30</v>
      </c>
      <c r="AA102" s="16">
        <v>40</v>
      </c>
      <c r="AB102" s="16">
        <v>0</v>
      </c>
      <c r="AC102" s="16"/>
      <c r="AD102" s="11">
        <v>2003</v>
      </c>
      <c r="AE102" s="23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</row>
    <row r="103" spans="1:84" s="2" customFormat="1" x14ac:dyDescent="0.2">
      <c r="A103" s="17" t="s">
        <v>3921</v>
      </c>
      <c r="B103" s="17" t="s">
        <v>45</v>
      </c>
      <c r="C103" s="17">
        <v>2025</v>
      </c>
      <c r="D103" s="17" t="str">
        <f t="array" ref="D103">_xlfn.SWITCH(E103,"Jatikalen","35.18.20","Kertosono", "35.18.08","Lengkong","35.18.19","Loceret","35.18.04","Tanjunganom","35.18.11","Wilangan","35.18.15")</f>
        <v>35.18.04</v>
      </c>
      <c r="E103" s="16" t="s">
        <v>41</v>
      </c>
      <c r="F103" s="33" t="s">
        <v>387</v>
      </c>
      <c r="G103" s="17" t="s">
        <v>388</v>
      </c>
      <c r="H103" s="16" t="s">
        <v>31</v>
      </c>
      <c r="I103" s="16">
        <v>7</v>
      </c>
      <c r="J103" s="16">
        <v>10</v>
      </c>
      <c r="K103" s="16">
        <f t="shared" si="1"/>
        <v>17</v>
      </c>
      <c r="L103" s="36">
        <v>38000000</v>
      </c>
      <c r="M103" s="17" t="s">
        <v>32</v>
      </c>
      <c r="N103" s="18">
        <v>1800000</v>
      </c>
      <c r="O103" s="16" t="s">
        <v>33</v>
      </c>
      <c r="P103" s="18">
        <v>673200000</v>
      </c>
      <c r="Q103" s="17" t="s">
        <v>34</v>
      </c>
      <c r="R103" s="35">
        <v>180</v>
      </c>
      <c r="S103" s="16" t="s">
        <v>35</v>
      </c>
      <c r="T103" s="36">
        <v>197226000</v>
      </c>
      <c r="U103" s="20" t="s">
        <v>22</v>
      </c>
      <c r="V103" s="16">
        <v>0</v>
      </c>
      <c r="W103" s="16">
        <v>0</v>
      </c>
      <c r="X103" s="16">
        <v>0</v>
      </c>
      <c r="Y103" s="16">
        <v>40</v>
      </c>
      <c r="Z103" s="16">
        <v>30</v>
      </c>
      <c r="AA103" s="16">
        <v>30</v>
      </c>
      <c r="AB103" s="16">
        <v>0</v>
      </c>
      <c r="AC103" s="16" t="s">
        <v>389</v>
      </c>
      <c r="AD103" s="22">
        <v>39133</v>
      </c>
      <c r="AE103" s="23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</row>
    <row r="104" spans="1:84" s="2" customFormat="1" x14ac:dyDescent="0.2">
      <c r="A104" s="17" t="s">
        <v>3921</v>
      </c>
      <c r="B104" s="17" t="s">
        <v>45</v>
      </c>
      <c r="C104" s="17">
        <v>2025</v>
      </c>
      <c r="D104" s="17" t="str">
        <f t="array" ref="D104">_xlfn.SWITCH(E104,"Bagor","35.18.14","Sukomoro",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4" s="16" t="s">
        <v>45</v>
      </c>
      <c r="F104" s="33" t="s">
        <v>390</v>
      </c>
      <c r="G104" s="17" t="s">
        <v>391</v>
      </c>
      <c r="H104" s="16" t="s">
        <v>31</v>
      </c>
      <c r="I104" s="16">
        <v>4</v>
      </c>
      <c r="J104" s="16">
        <v>8</v>
      </c>
      <c r="K104" s="16">
        <f t="shared" si="1"/>
        <v>12</v>
      </c>
      <c r="L104" s="36">
        <v>51500000</v>
      </c>
      <c r="M104" s="17" t="s">
        <v>32</v>
      </c>
      <c r="N104" s="18">
        <v>4000000</v>
      </c>
      <c r="O104" s="16" t="s">
        <v>33</v>
      </c>
      <c r="P104" s="18">
        <v>1496000000</v>
      </c>
      <c r="Q104" s="17" t="s">
        <v>34</v>
      </c>
      <c r="R104" s="35">
        <v>400</v>
      </c>
      <c r="S104" s="16" t="s">
        <v>35</v>
      </c>
      <c r="T104" s="36">
        <v>435227000</v>
      </c>
      <c r="U104" s="20" t="s">
        <v>22</v>
      </c>
      <c r="V104" s="16">
        <v>0</v>
      </c>
      <c r="W104" s="16">
        <v>0</v>
      </c>
      <c r="X104" s="16">
        <v>0</v>
      </c>
      <c r="Y104" s="16">
        <v>35</v>
      </c>
      <c r="Z104" s="16">
        <v>35</v>
      </c>
      <c r="AA104" s="16">
        <v>30</v>
      </c>
      <c r="AB104" s="16">
        <v>0</v>
      </c>
      <c r="AC104" s="16" t="s">
        <v>392</v>
      </c>
      <c r="AD104" s="22">
        <v>39240</v>
      </c>
      <c r="AE104" s="23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</row>
    <row r="105" spans="1:84" s="2" customFormat="1" x14ac:dyDescent="0.2">
      <c r="A105" s="17" t="s">
        <v>3921</v>
      </c>
      <c r="B105" s="17" t="s">
        <v>45</v>
      </c>
      <c r="C105" s="17">
        <v>2025</v>
      </c>
      <c r="D105" s="17" t="str">
        <f t="array" ref="D105">_xlfn.SWITCH(E105,"Bagor","35.18.14","Sukomoro",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05" s="16" t="s">
        <v>114</v>
      </c>
      <c r="F105" s="33" t="s">
        <v>114</v>
      </c>
      <c r="G105" s="33" t="s">
        <v>393</v>
      </c>
      <c r="H105" s="16" t="s">
        <v>47</v>
      </c>
      <c r="I105" s="16">
        <v>3</v>
      </c>
      <c r="J105" s="16">
        <v>12</v>
      </c>
      <c r="K105" s="16">
        <f t="shared" si="1"/>
        <v>15</v>
      </c>
      <c r="L105" s="36">
        <v>30550000</v>
      </c>
      <c r="M105" s="17" t="s">
        <v>108</v>
      </c>
      <c r="N105" s="18">
        <v>140</v>
      </c>
      <c r="O105" s="16" t="s">
        <v>49</v>
      </c>
      <c r="P105" s="18">
        <v>1875000000</v>
      </c>
      <c r="Q105" s="17" t="s">
        <v>212</v>
      </c>
      <c r="R105" s="35">
        <v>80</v>
      </c>
      <c r="S105" s="16" t="s">
        <v>51</v>
      </c>
      <c r="T105" s="36">
        <v>457000000</v>
      </c>
      <c r="U105" s="20" t="s">
        <v>22</v>
      </c>
      <c r="V105" s="16">
        <v>0</v>
      </c>
      <c r="W105" s="16">
        <v>0</v>
      </c>
      <c r="X105" s="16">
        <v>0</v>
      </c>
      <c r="Y105" s="16">
        <v>40</v>
      </c>
      <c r="Z105" s="16">
        <v>30</v>
      </c>
      <c r="AA105" s="16">
        <v>30</v>
      </c>
      <c r="AB105" s="16">
        <v>0</v>
      </c>
      <c r="AC105" s="16"/>
      <c r="AD105" s="11">
        <v>2003</v>
      </c>
      <c r="AE105" s="23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</row>
    <row r="106" spans="1:84" s="2" customFormat="1" x14ac:dyDescent="0.2">
      <c r="A106" s="17" t="s">
        <v>3921</v>
      </c>
      <c r="B106" s="17" t="s">
        <v>45</v>
      </c>
      <c r="C106" s="17">
        <v>2025</v>
      </c>
      <c r="D106" s="17" t="str">
        <f t="array" ref="D106">_xlfn.SWITCH(E106,"Jatikalen","35.18.20","Kertosono", "35.18.08","Lengkong","35.18.19","Loceret","35.18.04","Tanjunganom","35.18.11","Wilangan","35.18.15")</f>
        <v>35.18.19</v>
      </c>
      <c r="E106" s="16" t="s">
        <v>64</v>
      </c>
      <c r="F106" s="33" t="s">
        <v>394</v>
      </c>
      <c r="G106" s="17" t="s">
        <v>395</v>
      </c>
      <c r="H106" s="16" t="s">
        <v>31</v>
      </c>
      <c r="I106" s="16">
        <v>10</v>
      </c>
      <c r="J106" s="16">
        <v>163</v>
      </c>
      <c r="K106" s="16">
        <f t="shared" si="1"/>
        <v>173</v>
      </c>
      <c r="L106" s="18">
        <v>75000000</v>
      </c>
      <c r="M106" s="17" t="s">
        <v>32</v>
      </c>
      <c r="N106" s="36">
        <v>3000000</v>
      </c>
      <c r="O106" s="16" t="s">
        <v>33</v>
      </c>
      <c r="P106" s="18">
        <v>1230000000</v>
      </c>
      <c r="Q106" s="17" t="s">
        <v>34</v>
      </c>
      <c r="R106" s="35">
        <v>310</v>
      </c>
      <c r="S106" s="16" t="s">
        <v>35</v>
      </c>
      <c r="T106" s="36">
        <v>335500000</v>
      </c>
      <c r="U106" s="20" t="s">
        <v>22</v>
      </c>
      <c r="V106" s="16">
        <v>0</v>
      </c>
      <c r="W106" s="16">
        <v>0</v>
      </c>
      <c r="X106" s="16">
        <v>0</v>
      </c>
      <c r="Y106" s="16">
        <v>35</v>
      </c>
      <c r="Z106" s="16">
        <v>35</v>
      </c>
      <c r="AA106" s="16">
        <v>30</v>
      </c>
      <c r="AB106" s="16">
        <v>0</v>
      </c>
      <c r="AC106" s="16" t="s">
        <v>396</v>
      </c>
      <c r="AD106" s="11">
        <v>2008</v>
      </c>
      <c r="AE106" s="23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</row>
    <row r="107" spans="1:84" s="2" customFormat="1" x14ac:dyDescent="0.2">
      <c r="A107" s="17" t="s">
        <v>3921</v>
      </c>
      <c r="B107" s="17" t="s">
        <v>45</v>
      </c>
      <c r="C107" s="17">
        <v>2025</v>
      </c>
      <c r="D107" s="17" t="str">
        <f t="array" ref="D107">_xlfn.SWITCH(E107,"Jatikalen","35.18.20","Kertosono", "35.18.08","Lengkong","35.18.19","Loceret","35.18.04","Tanjunganom","35.18.11","Wilangan","35.18.15")</f>
        <v>35.18.19</v>
      </c>
      <c r="E107" s="16" t="s">
        <v>64</v>
      </c>
      <c r="F107" s="33" t="s">
        <v>394</v>
      </c>
      <c r="G107" s="17" t="s">
        <v>397</v>
      </c>
      <c r="H107" s="16" t="s">
        <v>31</v>
      </c>
      <c r="I107" s="16">
        <v>5</v>
      </c>
      <c r="J107" s="16">
        <v>15</v>
      </c>
      <c r="K107" s="16">
        <f t="shared" si="1"/>
        <v>20</v>
      </c>
      <c r="L107" s="18">
        <v>50000000</v>
      </c>
      <c r="M107" s="17" t="s">
        <v>398</v>
      </c>
      <c r="N107" s="35">
        <v>50</v>
      </c>
      <c r="O107" s="16" t="s">
        <v>83</v>
      </c>
      <c r="P107" s="18">
        <v>225000000</v>
      </c>
      <c r="Q107" s="17" t="s">
        <v>159</v>
      </c>
      <c r="R107" s="38">
        <v>35</v>
      </c>
      <c r="S107" s="16" t="s">
        <v>83</v>
      </c>
      <c r="T107" s="36">
        <v>105000000</v>
      </c>
      <c r="U107" s="20" t="s">
        <v>22</v>
      </c>
      <c r="V107" s="16">
        <v>0</v>
      </c>
      <c r="W107" s="16">
        <v>0</v>
      </c>
      <c r="X107" s="16">
        <v>0</v>
      </c>
      <c r="Y107" s="16">
        <v>60</v>
      </c>
      <c r="Z107" s="16">
        <v>40</v>
      </c>
      <c r="AA107" s="16">
        <v>0</v>
      </c>
      <c r="AB107" s="16">
        <v>0</v>
      </c>
      <c r="AC107" s="16"/>
      <c r="AD107" s="24">
        <v>2003</v>
      </c>
      <c r="AE107" s="23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</row>
    <row r="108" spans="1:84" s="2" customFormat="1" x14ac:dyDescent="0.2">
      <c r="A108" s="17" t="s">
        <v>3921</v>
      </c>
      <c r="B108" s="17" t="s">
        <v>45</v>
      </c>
      <c r="C108" s="17">
        <v>2025</v>
      </c>
      <c r="D108" s="17" t="str">
        <f t="array" ref="D108">_xlfn.SWITCH(E108,"Jatikalen","35.18.20","Kertosono", "35.18.08","Lengkong","35.18.19","Loceret","35.18.04","Tanjunganom","35.18.11","Wilangan","35.18.15")</f>
        <v>35.18.08</v>
      </c>
      <c r="E108" s="16" t="s">
        <v>128</v>
      </c>
      <c r="F108" s="17" t="s">
        <v>399</v>
      </c>
      <c r="G108" s="17" t="s">
        <v>400</v>
      </c>
      <c r="H108" s="16" t="s">
        <v>47</v>
      </c>
      <c r="I108" s="16">
        <v>12</v>
      </c>
      <c r="J108" s="16">
        <v>3</v>
      </c>
      <c r="K108" s="16">
        <f t="shared" si="1"/>
        <v>15</v>
      </c>
      <c r="L108" s="36">
        <v>25000000</v>
      </c>
      <c r="M108" s="17" t="s">
        <v>401</v>
      </c>
      <c r="N108" s="36">
        <v>108</v>
      </c>
      <c r="O108" s="16" t="s">
        <v>83</v>
      </c>
      <c r="P108" s="18">
        <v>183600000</v>
      </c>
      <c r="Q108" s="17" t="s">
        <v>160</v>
      </c>
      <c r="R108" s="18">
        <v>432</v>
      </c>
      <c r="S108" s="16" t="s">
        <v>83</v>
      </c>
      <c r="T108" s="36">
        <v>82400000</v>
      </c>
      <c r="U108" s="20" t="s">
        <v>22</v>
      </c>
      <c r="V108" s="16">
        <v>0</v>
      </c>
      <c r="W108" s="16">
        <v>0</v>
      </c>
      <c r="X108" s="16">
        <v>0</v>
      </c>
      <c r="Y108" s="16">
        <v>70</v>
      </c>
      <c r="Z108" s="16">
        <v>30</v>
      </c>
      <c r="AA108" s="16">
        <v>0</v>
      </c>
      <c r="AB108" s="16">
        <v>0</v>
      </c>
      <c r="AC108" s="16"/>
      <c r="AD108" s="24">
        <v>2003</v>
      </c>
      <c r="AE108" s="23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</row>
    <row r="109" spans="1:84" s="2" customFormat="1" x14ac:dyDescent="0.2">
      <c r="A109" s="17" t="s">
        <v>3921</v>
      </c>
      <c r="B109" s="17" t="s">
        <v>45</v>
      </c>
      <c r="C109" s="17">
        <v>2025</v>
      </c>
      <c r="D109" s="17" t="str">
        <f t="array" ref="D109">_xlfn.SWITCH(E109,"Jatikalen","35.18.20","Kertosono", "35.18.08","Lengkong","35.18.19","Loceret","35.18.04","Tanjunganom","35.18.11","Wilangan","35.18.15")</f>
        <v>35.18.08</v>
      </c>
      <c r="E109" s="16" t="s">
        <v>128</v>
      </c>
      <c r="F109" s="17" t="s">
        <v>402</v>
      </c>
      <c r="G109" s="17" t="s">
        <v>403</v>
      </c>
      <c r="H109" s="16" t="s">
        <v>47</v>
      </c>
      <c r="I109" s="16">
        <v>0</v>
      </c>
      <c r="J109" s="16">
        <v>3</v>
      </c>
      <c r="K109" s="16">
        <f t="shared" si="1"/>
        <v>3</v>
      </c>
      <c r="L109" s="36">
        <v>172500000</v>
      </c>
      <c r="M109" s="17" t="s">
        <v>48</v>
      </c>
      <c r="N109" s="36">
        <v>60</v>
      </c>
      <c r="O109" s="16" t="s">
        <v>51</v>
      </c>
      <c r="P109" s="18">
        <v>35600000</v>
      </c>
      <c r="Q109" s="17" t="s">
        <v>57</v>
      </c>
      <c r="R109" s="18">
        <v>100</v>
      </c>
      <c r="S109" s="16" t="s">
        <v>404</v>
      </c>
      <c r="T109" s="36">
        <v>15000000</v>
      </c>
      <c r="U109" s="20" t="s">
        <v>22</v>
      </c>
      <c r="V109" s="16">
        <v>0</v>
      </c>
      <c r="W109" s="16">
        <v>0</v>
      </c>
      <c r="X109" s="16">
        <v>0</v>
      </c>
      <c r="Y109" s="16">
        <v>65</v>
      </c>
      <c r="Z109" s="16">
        <v>35</v>
      </c>
      <c r="AA109" s="16">
        <v>0</v>
      </c>
      <c r="AB109" s="16">
        <v>0</v>
      </c>
      <c r="AC109" s="16"/>
      <c r="AD109" s="24">
        <v>2003</v>
      </c>
      <c r="AE109" s="23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</row>
    <row r="110" spans="1:84" s="2" customFormat="1" x14ac:dyDescent="0.2">
      <c r="A110" s="17" t="s">
        <v>3921</v>
      </c>
      <c r="B110" s="17" t="s">
        <v>45</v>
      </c>
      <c r="C110" s="17">
        <v>2025</v>
      </c>
      <c r="D110" s="17" t="str">
        <f t="array" ref="D110">_xlfn.SWITCH(E110,"Jatikalen","35.18.20","Kertosono", "35.18.08","Lengkong","35.18.19","Loceret","35.18.04","Tanjunganom","35.18.11","Wilangan","35.18.15")</f>
        <v>35.18.08</v>
      </c>
      <c r="E110" s="16" t="s">
        <v>128</v>
      </c>
      <c r="F110" s="17" t="s">
        <v>402</v>
      </c>
      <c r="G110" s="17" t="s">
        <v>405</v>
      </c>
      <c r="H110" s="16" t="s">
        <v>47</v>
      </c>
      <c r="I110" s="16">
        <v>6</v>
      </c>
      <c r="J110" s="16">
        <v>2</v>
      </c>
      <c r="K110" s="16">
        <f t="shared" si="1"/>
        <v>8</v>
      </c>
      <c r="L110" s="36">
        <v>58000000</v>
      </c>
      <c r="M110" s="17" t="s">
        <v>406</v>
      </c>
      <c r="N110" s="36">
        <v>15000</v>
      </c>
      <c r="O110" s="16" t="s">
        <v>152</v>
      </c>
      <c r="P110" s="18">
        <v>375000000</v>
      </c>
      <c r="Q110" s="17" t="s">
        <v>153</v>
      </c>
      <c r="R110" s="18">
        <v>2500</v>
      </c>
      <c r="S110" s="16" t="s">
        <v>35</v>
      </c>
      <c r="T110" s="36">
        <v>130000000</v>
      </c>
      <c r="U110" s="20" t="s">
        <v>22</v>
      </c>
      <c r="V110" s="16">
        <v>0</v>
      </c>
      <c r="W110" s="16">
        <v>0</v>
      </c>
      <c r="X110" s="16">
        <v>0</v>
      </c>
      <c r="Y110" s="16">
        <v>60</v>
      </c>
      <c r="Z110" s="16">
        <v>40</v>
      </c>
      <c r="AA110" s="16">
        <v>0</v>
      </c>
      <c r="AB110" s="16">
        <v>0</v>
      </c>
      <c r="AC110" s="16"/>
      <c r="AD110" s="24">
        <v>2003</v>
      </c>
      <c r="AE110" s="23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</row>
    <row r="111" spans="1:84" s="2" customFormat="1" x14ac:dyDescent="0.2">
      <c r="A111" s="17" t="s">
        <v>3921</v>
      </c>
      <c r="B111" s="17" t="s">
        <v>45</v>
      </c>
      <c r="C111" s="17">
        <v>2025</v>
      </c>
      <c r="D111" s="17" t="str">
        <f t="array" ref="D111">_xlfn.SWITCH(E111,"Bagor","35.18.14","Sukomoro",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11" s="16" t="s">
        <v>188</v>
      </c>
      <c r="F111" s="33" t="s">
        <v>280</v>
      </c>
      <c r="G111" s="17" t="s">
        <v>407</v>
      </c>
      <c r="H111" s="16" t="s">
        <v>47</v>
      </c>
      <c r="I111" s="16">
        <v>1</v>
      </c>
      <c r="J111" s="16">
        <v>5</v>
      </c>
      <c r="K111" s="16">
        <f t="shared" si="1"/>
        <v>6</v>
      </c>
      <c r="L111" s="18">
        <v>127400000</v>
      </c>
      <c r="M111" s="17" t="s">
        <v>48</v>
      </c>
      <c r="N111" s="35">
        <v>15</v>
      </c>
      <c r="O111" s="16" t="s">
        <v>51</v>
      </c>
      <c r="P111" s="18">
        <v>63000000</v>
      </c>
      <c r="Q111" s="17" t="s">
        <v>57</v>
      </c>
      <c r="R111" s="35">
        <v>25</v>
      </c>
      <c r="S111" s="16" t="s">
        <v>51</v>
      </c>
      <c r="T111" s="36">
        <v>25000000</v>
      </c>
      <c r="U111" s="20" t="s">
        <v>22</v>
      </c>
      <c r="V111" s="16">
        <v>0</v>
      </c>
      <c r="W111" s="16">
        <v>0</v>
      </c>
      <c r="X111" s="16">
        <v>0</v>
      </c>
      <c r="Y111" s="16">
        <v>65</v>
      </c>
      <c r="Z111" s="16">
        <v>35</v>
      </c>
      <c r="AA111" s="16">
        <v>0</v>
      </c>
      <c r="AB111" s="16">
        <v>0</v>
      </c>
      <c r="AC111" s="16"/>
      <c r="AD111" s="24">
        <v>2003</v>
      </c>
      <c r="AE111" s="23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</row>
    <row r="112" spans="1:84" s="2" customFormat="1" x14ac:dyDescent="0.2">
      <c r="A112" s="17" t="s">
        <v>3921</v>
      </c>
      <c r="B112" s="17" t="s">
        <v>45</v>
      </c>
      <c r="C112" s="17">
        <v>2025</v>
      </c>
      <c r="D112" s="17" t="str">
        <f t="array" ref="D112">_xlfn.SWITCH(E112,"Bagor","35.18.14","Sukomoro",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2" s="16" t="s">
        <v>29</v>
      </c>
      <c r="F112" s="17" t="s">
        <v>245</v>
      </c>
      <c r="G112" s="17" t="s">
        <v>408</v>
      </c>
      <c r="H112" s="16" t="s">
        <v>31</v>
      </c>
      <c r="I112" s="16">
        <v>4</v>
      </c>
      <c r="J112" s="16">
        <v>24</v>
      </c>
      <c r="K112" s="16">
        <f t="shared" si="1"/>
        <v>28</v>
      </c>
      <c r="L112" s="36">
        <v>45000000</v>
      </c>
      <c r="M112" s="17" t="s">
        <v>32</v>
      </c>
      <c r="N112" s="36">
        <v>8000000</v>
      </c>
      <c r="O112" s="16" t="s">
        <v>33</v>
      </c>
      <c r="P112" s="18">
        <v>2992000000</v>
      </c>
      <c r="Q112" s="17" t="s">
        <v>34</v>
      </c>
      <c r="R112" s="35">
        <v>800</v>
      </c>
      <c r="S112" s="16" t="s">
        <v>35</v>
      </c>
      <c r="T112" s="38">
        <v>945229000</v>
      </c>
      <c r="U112" s="20" t="s">
        <v>22</v>
      </c>
      <c r="V112" s="16">
        <v>0</v>
      </c>
      <c r="W112" s="16">
        <v>0</v>
      </c>
      <c r="X112" s="16">
        <v>0</v>
      </c>
      <c r="Y112" s="16">
        <v>50</v>
      </c>
      <c r="Z112" s="16">
        <v>30</v>
      </c>
      <c r="AA112" s="16">
        <v>20</v>
      </c>
      <c r="AB112" s="16">
        <v>0</v>
      </c>
      <c r="AC112" s="16" t="s">
        <v>409</v>
      </c>
      <c r="AD112" s="22">
        <v>39435</v>
      </c>
      <c r="AE112" s="23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</row>
    <row r="113" spans="1:84" s="2" customFormat="1" x14ac:dyDescent="0.2">
      <c r="A113" s="17" t="s">
        <v>3921</v>
      </c>
      <c r="B113" s="17" t="s">
        <v>45</v>
      </c>
      <c r="C113" s="17">
        <v>2025</v>
      </c>
      <c r="D113" s="17" t="str">
        <f t="array" ref="D113">_xlfn.SWITCH(E113,"Bagor","35.18.14","Sukomoro",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3" s="16" t="s">
        <v>29</v>
      </c>
      <c r="F113" s="17" t="s">
        <v>37</v>
      </c>
      <c r="G113" s="17" t="s">
        <v>410</v>
      </c>
      <c r="H113" s="16" t="s">
        <v>31</v>
      </c>
      <c r="I113" s="16">
        <v>7</v>
      </c>
      <c r="J113" s="16">
        <v>190</v>
      </c>
      <c r="K113" s="16">
        <f t="shared" si="1"/>
        <v>197</v>
      </c>
      <c r="L113" s="36">
        <v>196000000</v>
      </c>
      <c r="M113" s="17" t="s">
        <v>32</v>
      </c>
      <c r="N113" s="36">
        <v>89856000</v>
      </c>
      <c r="O113" s="16" t="s">
        <v>33</v>
      </c>
      <c r="P113" s="18">
        <v>14976000000</v>
      </c>
      <c r="Q113" s="17" t="s">
        <v>34</v>
      </c>
      <c r="R113" s="35">
        <v>8900</v>
      </c>
      <c r="S113" s="16" t="s">
        <v>35</v>
      </c>
      <c r="T113" s="38">
        <v>3795555900</v>
      </c>
      <c r="U113" s="20" t="s">
        <v>22</v>
      </c>
      <c r="V113" s="16">
        <v>0</v>
      </c>
      <c r="W113" s="16">
        <v>0</v>
      </c>
      <c r="X113" s="16">
        <v>0</v>
      </c>
      <c r="Y113" s="16">
        <v>40</v>
      </c>
      <c r="Z113" s="16">
        <v>35</v>
      </c>
      <c r="AA113" s="16">
        <v>25</v>
      </c>
      <c r="AB113" s="16">
        <v>0</v>
      </c>
      <c r="AC113" s="16" t="s">
        <v>411</v>
      </c>
      <c r="AD113" s="22">
        <v>39773</v>
      </c>
      <c r="AE113" s="23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</row>
    <row r="114" spans="1:84" s="2" customFormat="1" x14ac:dyDescent="0.2">
      <c r="A114" s="17" t="s">
        <v>3921</v>
      </c>
      <c r="B114" s="17" t="s">
        <v>45</v>
      </c>
      <c r="C114" s="17">
        <v>2025</v>
      </c>
      <c r="D114" s="17" t="str">
        <f t="array" ref="D114">_xlfn.SWITCH(E114,"Bagor","35.18.14","Sukomoro",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" s="16" t="s">
        <v>29</v>
      </c>
      <c r="F114" s="17" t="s">
        <v>213</v>
      </c>
      <c r="G114" s="17" t="s">
        <v>412</v>
      </c>
      <c r="H114" s="16" t="s">
        <v>31</v>
      </c>
      <c r="I114" s="16">
        <v>2</v>
      </c>
      <c r="J114" s="16">
        <v>8</v>
      </c>
      <c r="K114" s="16">
        <f t="shared" si="1"/>
        <v>10</v>
      </c>
      <c r="L114" s="36">
        <v>60000000</v>
      </c>
      <c r="M114" s="17" t="s">
        <v>32</v>
      </c>
      <c r="N114" s="36">
        <v>2073600</v>
      </c>
      <c r="O114" s="16" t="s">
        <v>33</v>
      </c>
      <c r="P114" s="18">
        <v>775526400</v>
      </c>
      <c r="Q114" s="17" t="s">
        <v>34</v>
      </c>
      <c r="R114" s="35">
        <v>210</v>
      </c>
      <c r="S114" s="16" t="s">
        <v>35</v>
      </c>
      <c r="T114" s="38">
        <v>298426000</v>
      </c>
      <c r="U114" s="20" t="s">
        <v>22</v>
      </c>
      <c r="V114" s="16">
        <v>0</v>
      </c>
      <c r="W114" s="16">
        <v>0</v>
      </c>
      <c r="X114" s="16">
        <v>0</v>
      </c>
      <c r="Y114" s="16">
        <v>40</v>
      </c>
      <c r="Z114" s="16">
        <v>30</v>
      </c>
      <c r="AA114" s="16">
        <v>30</v>
      </c>
      <c r="AB114" s="16">
        <v>0</v>
      </c>
      <c r="AC114" s="16" t="s">
        <v>413</v>
      </c>
      <c r="AD114" s="11">
        <v>2003</v>
      </c>
      <c r="AE114" s="23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</row>
    <row r="115" spans="1:84" s="2" customFormat="1" x14ac:dyDescent="0.2">
      <c r="A115" s="17" t="s">
        <v>3921</v>
      </c>
      <c r="B115" s="17" t="s">
        <v>45</v>
      </c>
      <c r="C115" s="17">
        <v>2025</v>
      </c>
      <c r="D115" s="17" t="str">
        <f t="array" ref="D115">_xlfn.SWITCH(E115,"Bagor","35.18.14","Sukomoro",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5" s="16" t="s">
        <v>29</v>
      </c>
      <c r="F115" s="17" t="s">
        <v>414</v>
      </c>
      <c r="G115" s="17" t="s">
        <v>415</v>
      </c>
      <c r="H115" s="16" t="s">
        <v>31</v>
      </c>
      <c r="I115" s="16">
        <v>2</v>
      </c>
      <c r="J115" s="16">
        <v>16</v>
      </c>
      <c r="K115" s="16">
        <f t="shared" si="1"/>
        <v>18</v>
      </c>
      <c r="L115" s="36">
        <v>43340000</v>
      </c>
      <c r="M115" s="17" t="s">
        <v>32</v>
      </c>
      <c r="N115" s="36">
        <v>4000000</v>
      </c>
      <c r="O115" s="16" t="s">
        <v>33</v>
      </c>
      <c r="P115" s="18">
        <v>1496000000</v>
      </c>
      <c r="Q115" s="17" t="s">
        <v>34</v>
      </c>
      <c r="R115" s="35">
        <v>400</v>
      </c>
      <c r="S115" s="16" t="s">
        <v>35</v>
      </c>
      <c r="T115" s="38">
        <v>516227000</v>
      </c>
      <c r="U115" s="20" t="s">
        <v>22</v>
      </c>
      <c r="V115" s="16">
        <v>0</v>
      </c>
      <c r="W115" s="16">
        <v>0</v>
      </c>
      <c r="X115" s="16">
        <v>0</v>
      </c>
      <c r="Y115" s="16">
        <v>35</v>
      </c>
      <c r="Z115" s="16">
        <v>40</v>
      </c>
      <c r="AA115" s="16">
        <v>25</v>
      </c>
      <c r="AB115" s="16">
        <v>0</v>
      </c>
      <c r="AC115" s="16" t="s">
        <v>416</v>
      </c>
      <c r="AD115" s="11">
        <v>2003</v>
      </c>
      <c r="AE115" s="23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</row>
    <row r="116" spans="1:84" s="2" customFormat="1" x14ac:dyDescent="0.2">
      <c r="A116" s="17" t="s">
        <v>3921</v>
      </c>
      <c r="B116" s="17" t="s">
        <v>45</v>
      </c>
      <c r="C116" s="17">
        <v>2025</v>
      </c>
      <c r="D116" s="17" t="str">
        <f t="array" ref="D116">_xlfn.SWITCH(E116,"Jatikalen","35.18.20","Kertosono", "35.18.08","Lengkong","35.18.19","Loceret","35.18.04","Tanjunganom","35.18.11","Wilangan","35.18.15")</f>
        <v>35.18.11</v>
      </c>
      <c r="E116" s="16" t="s">
        <v>60</v>
      </c>
      <c r="F116" s="17" t="s">
        <v>59</v>
      </c>
      <c r="G116" s="17" t="s">
        <v>417</v>
      </c>
      <c r="H116" s="16" t="s">
        <v>31</v>
      </c>
      <c r="I116" s="16">
        <v>3</v>
      </c>
      <c r="J116" s="16">
        <v>10</v>
      </c>
      <c r="K116" s="16">
        <f t="shared" si="1"/>
        <v>13</v>
      </c>
      <c r="L116" s="36">
        <v>15000000</v>
      </c>
      <c r="M116" s="17" t="s">
        <v>32</v>
      </c>
      <c r="N116" s="36">
        <v>24000000</v>
      </c>
      <c r="O116" s="16" t="s">
        <v>33</v>
      </c>
      <c r="P116" s="18">
        <v>897600000</v>
      </c>
      <c r="Q116" s="17" t="s">
        <v>34</v>
      </c>
      <c r="R116" s="35">
        <v>250</v>
      </c>
      <c r="S116" s="16" t="s">
        <v>35</v>
      </c>
      <c r="T116" s="38">
        <v>319851000</v>
      </c>
      <c r="U116" s="20" t="s">
        <v>22</v>
      </c>
      <c r="V116" s="16">
        <v>0</v>
      </c>
      <c r="W116" s="16">
        <v>0</v>
      </c>
      <c r="X116" s="16">
        <v>0</v>
      </c>
      <c r="Y116" s="16">
        <v>50</v>
      </c>
      <c r="Z116" s="16">
        <v>40</v>
      </c>
      <c r="AA116" s="16">
        <v>10</v>
      </c>
      <c r="AB116" s="16">
        <v>0</v>
      </c>
      <c r="AC116" s="16"/>
      <c r="AD116" s="22"/>
      <c r="AE116" s="23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</row>
    <row r="117" spans="1:84" s="2" customFormat="1" x14ac:dyDescent="0.2">
      <c r="A117" s="17" t="s">
        <v>3921</v>
      </c>
      <c r="B117" s="17" t="s">
        <v>45</v>
      </c>
      <c r="C117" s="17">
        <v>2025</v>
      </c>
      <c r="D117" s="17" t="str">
        <f t="array" ref="D117">_xlfn.SWITCH(E117,"Bagor","35.18.14","Sukomoro",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" s="16" t="s">
        <v>29</v>
      </c>
      <c r="F117" s="17" t="s">
        <v>418</v>
      </c>
      <c r="G117" s="17" t="s">
        <v>419</v>
      </c>
      <c r="H117" s="16" t="s">
        <v>31</v>
      </c>
      <c r="I117" s="16">
        <v>2</v>
      </c>
      <c r="J117" s="16">
        <v>11</v>
      </c>
      <c r="K117" s="16">
        <f t="shared" si="1"/>
        <v>13</v>
      </c>
      <c r="L117" s="36">
        <v>10050000</v>
      </c>
      <c r="M117" s="17" t="s">
        <v>32</v>
      </c>
      <c r="N117" s="36">
        <v>2000000</v>
      </c>
      <c r="O117" s="16" t="s">
        <v>33</v>
      </c>
      <c r="P117" s="18">
        <v>748000000</v>
      </c>
      <c r="Q117" s="17" t="s">
        <v>34</v>
      </c>
      <c r="R117" s="35">
        <v>200</v>
      </c>
      <c r="S117" s="16" t="s">
        <v>35</v>
      </c>
      <c r="T117" s="38">
        <v>278076000</v>
      </c>
      <c r="U117" s="20" t="s">
        <v>22</v>
      </c>
      <c r="V117" s="16">
        <v>0</v>
      </c>
      <c r="W117" s="16">
        <v>0</v>
      </c>
      <c r="X117" s="16">
        <v>0</v>
      </c>
      <c r="Y117" s="16">
        <v>40</v>
      </c>
      <c r="Z117" s="16">
        <v>30</v>
      </c>
      <c r="AA117" s="16">
        <v>30</v>
      </c>
      <c r="AB117" s="16">
        <v>0</v>
      </c>
      <c r="AC117" s="16" t="s">
        <v>420</v>
      </c>
      <c r="AD117" s="11">
        <v>2003</v>
      </c>
      <c r="AE117" s="23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</row>
    <row r="118" spans="1:84" s="2" customFormat="1" x14ac:dyDescent="0.2">
      <c r="A118" s="17" t="s">
        <v>3921</v>
      </c>
      <c r="B118" s="17" t="s">
        <v>45</v>
      </c>
      <c r="C118" s="17">
        <v>2025</v>
      </c>
      <c r="D118" s="17" t="str">
        <f t="array" ref="D118">_xlfn.SWITCH(E118,"Bagor","35.18.14","Sukomoro",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8" s="16" t="s">
        <v>45</v>
      </c>
      <c r="F118" s="33" t="s">
        <v>44</v>
      </c>
      <c r="G118" s="33" t="s">
        <v>421</v>
      </c>
      <c r="H118" s="16" t="s">
        <v>31</v>
      </c>
      <c r="I118" s="16">
        <v>1</v>
      </c>
      <c r="J118" s="16">
        <v>6</v>
      </c>
      <c r="K118" s="16">
        <f t="shared" si="1"/>
        <v>7</v>
      </c>
      <c r="L118" s="36">
        <v>92630000</v>
      </c>
      <c r="M118" s="17" t="s">
        <v>32</v>
      </c>
      <c r="N118" s="18">
        <v>6000000</v>
      </c>
      <c r="O118" s="16" t="s">
        <v>33</v>
      </c>
      <c r="P118" s="30">
        <v>1050000000</v>
      </c>
      <c r="Q118" s="17" t="s">
        <v>34</v>
      </c>
      <c r="R118" s="35">
        <v>600</v>
      </c>
      <c r="S118" s="16" t="s">
        <v>422</v>
      </c>
      <c r="T118" s="39">
        <v>480000000</v>
      </c>
      <c r="U118" s="20" t="s">
        <v>22</v>
      </c>
      <c r="V118" s="16">
        <v>0</v>
      </c>
      <c r="W118" s="16">
        <v>0</v>
      </c>
      <c r="X118" s="16">
        <v>0</v>
      </c>
      <c r="Y118" s="16">
        <v>45</v>
      </c>
      <c r="Z118" s="16">
        <v>30</v>
      </c>
      <c r="AA118" s="16">
        <v>25</v>
      </c>
      <c r="AB118" s="16">
        <v>0</v>
      </c>
      <c r="AC118" s="16" t="s">
        <v>423</v>
      </c>
      <c r="AD118" s="27" t="s">
        <v>369</v>
      </c>
      <c r="AE118" s="23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</row>
    <row r="119" spans="1:84" s="2" customFormat="1" x14ac:dyDescent="0.2">
      <c r="A119" s="17" t="s">
        <v>3921</v>
      </c>
      <c r="B119" s="17" t="s">
        <v>45</v>
      </c>
      <c r="C119" s="17">
        <v>2025</v>
      </c>
      <c r="D119" s="17" t="str">
        <f t="array" ref="D119">_xlfn.SWITCH(E119,"Bagor","35.18.14","Sukomoro",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9" s="16" t="s">
        <v>45</v>
      </c>
      <c r="F119" s="33" t="s">
        <v>424</v>
      </c>
      <c r="G119" s="33" t="s">
        <v>425</v>
      </c>
      <c r="H119" s="16" t="s">
        <v>31</v>
      </c>
      <c r="I119" s="16">
        <v>5</v>
      </c>
      <c r="J119" s="16">
        <v>20</v>
      </c>
      <c r="K119" s="16">
        <f t="shared" si="1"/>
        <v>25</v>
      </c>
      <c r="L119" s="36">
        <v>95000000</v>
      </c>
      <c r="M119" s="17" t="s">
        <v>32</v>
      </c>
      <c r="N119" s="18">
        <v>2672500</v>
      </c>
      <c r="O119" s="16" t="s">
        <v>33</v>
      </c>
      <c r="P119" s="30">
        <v>999515000</v>
      </c>
      <c r="Q119" s="17" t="s">
        <v>34</v>
      </c>
      <c r="R119" s="35">
        <v>275</v>
      </c>
      <c r="S119" s="16" t="s">
        <v>422</v>
      </c>
      <c r="T119" s="39">
        <v>350989000</v>
      </c>
      <c r="U119" s="20" t="s">
        <v>22</v>
      </c>
      <c r="V119" s="16">
        <v>0</v>
      </c>
      <c r="W119" s="16">
        <v>0</v>
      </c>
      <c r="X119" s="16">
        <v>0</v>
      </c>
      <c r="Y119" s="16">
        <v>40</v>
      </c>
      <c r="Z119" s="16">
        <v>40</v>
      </c>
      <c r="AA119" s="16">
        <v>20</v>
      </c>
      <c r="AB119" s="16">
        <v>0</v>
      </c>
      <c r="AC119" s="26" t="s">
        <v>426</v>
      </c>
      <c r="AD119" s="27" t="s">
        <v>427</v>
      </c>
      <c r="AE119" s="23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</row>
    <row r="120" spans="1:84" s="2" customFormat="1" x14ac:dyDescent="0.2">
      <c r="A120" s="17" t="s">
        <v>3921</v>
      </c>
      <c r="B120" s="17" t="s">
        <v>45</v>
      </c>
      <c r="C120" s="17">
        <v>2025</v>
      </c>
      <c r="D120" s="17" t="str">
        <f t="array" ref="D120">_xlfn.SWITCH(E120,"Bagor","35.18.14","Sukomoro",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0" s="16" t="s">
        <v>45</v>
      </c>
      <c r="F120" s="40" t="s">
        <v>428</v>
      </c>
      <c r="G120" s="33" t="s">
        <v>429</v>
      </c>
      <c r="H120" s="16" t="s">
        <v>31</v>
      </c>
      <c r="I120" s="16">
        <v>3</v>
      </c>
      <c r="J120" s="16">
        <v>11</v>
      </c>
      <c r="K120" s="16">
        <f t="shared" si="1"/>
        <v>14</v>
      </c>
      <c r="L120" s="36">
        <v>90000000</v>
      </c>
      <c r="M120" s="17" t="s">
        <v>32</v>
      </c>
      <c r="N120" s="18">
        <v>16000000</v>
      </c>
      <c r="O120" s="16" t="s">
        <v>33</v>
      </c>
      <c r="P120" s="30">
        <v>5984000000</v>
      </c>
      <c r="Q120" s="41" t="s">
        <v>34</v>
      </c>
      <c r="R120" s="42">
        <v>16000</v>
      </c>
      <c r="S120" s="43" t="s">
        <v>35</v>
      </c>
      <c r="T120" s="39">
        <v>2353208000</v>
      </c>
      <c r="U120" s="20" t="s">
        <v>22</v>
      </c>
      <c r="V120" s="16">
        <v>0</v>
      </c>
      <c r="W120" s="16">
        <v>0</v>
      </c>
      <c r="X120" s="16">
        <v>0</v>
      </c>
      <c r="Y120" s="16">
        <v>60</v>
      </c>
      <c r="Z120" s="16">
        <v>40</v>
      </c>
      <c r="AA120" s="16">
        <v>0</v>
      </c>
      <c r="AB120" s="16">
        <v>0</v>
      </c>
      <c r="AC120" s="16" t="s">
        <v>430</v>
      </c>
      <c r="AD120" s="31" t="s">
        <v>431</v>
      </c>
      <c r="AE120" s="23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</row>
    <row r="121" spans="1:84" s="2" customFormat="1" x14ac:dyDescent="0.2">
      <c r="A121" s="17" t="s">
        <v>3921</v>
      </c>
      <c r="B121" s="17" t="s">
        <v>45</v>
      </c>
      <c r="C121" s="17">
        <v>2025</v>
      </c>
      <c r="D121" s="17" t="str">
        <f t="array" ref="D121">_xlfn.SWITCH(E121,"Bagor","35.18.14","Sukomoro",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" s="16" t="s">
        <v>45</v>
      </c>
      <c r="F121" s="33" t="s">
        <v>432</v>
      </c>
      <c r="G121" s="33" t="s">
        <v>433</v>
      </c>
      <c r="H121" s="16" t="s">
        <v>31</v>
      </c>
      <c r="I121" s="16">
        <v>18</v>
      </c>
      <c r="J121" s="16">
        <v>92</v>
      </c>
      <c r="K121" s="16">
        <f t="shared" si="1"/>
        <v>110</v>
      </c>
      <c r="L121" s="36">
        <v>200000000</v>
      </c>
      <c r="M121" s="17" t="s">
        <v>32</v>
      </c>
      <c r="N121" s="18">
        <v>15663852</v>
      </c>
      <c r="O121" s="16" t="s">
        <v>33</v>
      </c>
      <c r="P121" s="30">
        <v>2657083000</v>
      </c>
      <c r="Q121" s="17" t="s">
        <v>34</v>
      </c>
      <c r="R121" s="35">
        <v>15665</v>
      </c>
      <c r="S121" s="16" t="s">
        <v>35</v>
      </c>
      <c r="T121" s="39">
        <v>1008546400</v>
      </c>
      <c r="U121" s="20" t="s">
        <v>22</v>
      </c>
      <c r="V121" s="16">
        <v>0</v>
      </c>
      <c r="W121" s="16">
        <v>0</v>
      </c>
      <c r="X121" s="16">
        <v>0</v>
      </c>
      <c r="Y121" s="16">
        <v>40</v>
      </c>
      <c r="Z121" s="16">
        <v>30</v>
      </c>
      <c r="AA121" s="16">
        <v>30</v>
      </c>
      <c r="AB121" s="16">
        <v>0</v>
      </c>
      <c r="AC121" s="16" t="s">
        <v>434</v>
      </c>
      <c r="AD121" s="22">
        <v>39539</v>
      </c>
      <c r="AE121" s="23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</row>
    <row r="122" spans="1:84" s="2" customFormat="1" x14ac:dyDescent="0.2">
      <c r="A122" s="17" t="s">
        <v>3921</v>
      </c>
      <c r="B122" s="17" t="s">
        <v>45</v>
      </c>
      <c r="C122" s="17">
        <v>2025</v>
      </c>
      <c r="D122" s="17" t="str">
        <f t="array" ref="D122">_xlfn.SWITCH(E122,"Bagor","35.18.14","Sukomoro",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2" s="16" t="s">
        <v>45</v>
      </c>
      <c r="F122" s="33" t="s">
        <v>435</v>
      </c>
      <c r="G122" s="17" t="s">
        <v>436</v>
      </c>
      <c r="H122" s="16" t="s">
        <v>31</v>
      </c>
      <c r="I122" s="16">
        <v>6</v>
      </c>
      <c r="J122" s="16">
        <v>1</v>
      </c>
      <c r="K122" s="16">
        <f t="shared" si="1"/>
        <v>7</v>
      </c>
      <c r="L122" s="36">
        <v>30000000</v>
      </c>
      <c r="M122" s="17" t="s">
        <v>437</v>
      </c>
      <c r="N122" s="18">
        <v>1500</v>
      </c>
      <c r="O122" s="16" t="s">
        <v>35</v>
      </c>
      <c r="P122" s="18">
        <v>158000000</v>
      </c>
      <c r="Q122" s="17" t="s">
        <v>153</v>
      </c>
      <c r="R122" s="18">
        <v>3950</v>
      </c>
      <c r="S122" s="16" t="s">
        <v>35</v>
      </c>
      <c r="T122" s="36">
        <v>68750000</v>
      </c>
      <c r="U122" s="20" t="s">
        <v>22</v>
      </c>
      <c r="V122" s="16" t="s">
        <v>438</v>
      </c>
      <c r="W122" s="16">
        <v>600</v>
      </c>
      <c r="X122" s="16" t="s">
        <v>53</v>
      </c>
      <c r="Y122" s="16">
        <v>65</v>
      </c>
      <c r="Z122" s="16">
        <v>35</v>
      </c>
      <c r="AA122" s="16">
        <v>0</v>
      </c>
      <c r="AB122" s="16">
        <v>0</v>
      </c>
      <c r="AC122" s="16" t="s">
        <v>439</v>
      </c>
      <c r="AD122" s="22">
        <v>39534</v>
      </c>
      <c r="AE122" s="23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</row>
    <row r="123" spans="1:84" s="2" customFormat="1" x14ac:dyDescent="0.2">
      <c r="A123" s="17" t="s">
        <v>3921</v>
      </c>
      <c r="B123" s="17" t="s">
        <v>45</v>
      </c>
      <c r="C123" s="17">
        <v>2025</v>
      </c>
      <c r="D123" s="17" t="str">
        <f t="array" ref="D123">_xlfn.SWITCH(E123,"Bagor","35.18.14","Sukomoro",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3" s="16" t="s">
        <v>45</v>
      </c>
      <c r="F123" s="33" t="s">
        <v>322</v>
      </c>
      <c r="G123" s="17" t="s">
        <v>440</v>
      </c>
      <c r="H123" s="16" t="s">
        <v>31</v>
      </c>
      <c r="I123" s="16">
        <v>2</v>
      </c>
      <c r="J123" s="16">
        <v>10</v>
      </c>
      <c r="K123" s="16">
        <f t="shared" si="1"/>
        <v>12</v>
      </c>
      <c r="L123" s="36">
        <v>250000000</v>
      </c>
      <c r="M123" s="17" t="s">
        <v>48</v>
      </c>
      <c r="N123" s="18">
        <v>80</v>
      </c>
      <c r="O123" s="16" t="s">
        <v>211</v>
      </c>
      <c r="P123" s="18">
        <v>49816000</v>
      </c>
      <c r="Q123" s="17" t="s">
        <v>57</v>
      </c>
      <c r="R123" s="18">
        <v>36</v>
      </c>
      <c r="S123" s="16" t="s">
        <v>51</v>
      </c>
      <c r="T123" s="36">
        <v>16200000</v>
      </c>
      <c r="U123" s="20" t="s">
        <v>22</v>
      </c>
      <c r="V123" s="16" t="s">
        <v>52</v>
      </c>
      <c r="W123" s="16">
        <v>360</v>
      </c>
      <c r="X123" s="16" t="s">
        <v>53</v>
      </c>
      <c r="Y123" s="16">
        <v>60</v>
      </c>
      <c r="Z123" s="16">
        <v>40</v>
      </c>
      <c r="AA123" s="16">
        <v>0</v>
      </c>
      <c r="AB123" s="16">
        <v>0</v>
      </c>
      <c r="AC123" s="16"/>
      <c r="AD123" s="24">
        <v>2002</v>
      </c>
      <c r="AE123" s="23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</row>
    <row r="124" spans="1:84" s="2" customFormat="1" x14ac:dyDescent="0.2">
      <c r="A124" s="17" t="s">
        <v>3921</v>
      </c>
      <c r="B124" s="17" t="s">
        <v>45</v>
      </c>
      <c r="C124" s="17">
        <v>2025</v>
      </c>
      <c r="D124" s="17" t="str">
        <f t="array" ref="D124">_xlfn.SWITCH(E124,"Bagor","35.18.14","Sukomoro",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4" s="16" t="s">
        <v>45</v>
      </c>
      <c r="F124" s="17" t="s">
        <v>441</v>
      </c>
      <c r="G124" s="17" t="s">
        <v>442</v>
      </c>
      <c r="H124" s="16" t="s">
        <v>443</v>
      </c>
      <c r="I124" s="16">
        <v>13</v>
      </c>
      <c r="J124" s="16">
        <v>8</v>
      </c>
      <c r="K124" s="16">
        <f t="shared" si="1"/>
        <v>21</v>
      </c>
      <c r="L124" s="36">
        <v>132078000</v>
      </c>
      <c r="M124" s="17" t="s">
        <v>444</v>
      </c>
      <c r="N124" s="18">
        <v>2450000</v>
      </c>
      <c r="O124" s="16" t="s">
        <v>445</v>
      </c>
      <c r="P124" s="18">
        <v>135000000</v>
      </c>
      <c r="Q124" s="17" t="s">
        <v>446</v>
      </c>
      <c r="R124" s="18">
        <v>3000</v>
      </c>
      <c r="S124" s="16" t="s">
        <v>447</v>
      </c>
      <c r="T124" s="36">
        <v>51060000</v>
      </c>
      <c r="U124" s="20" t="s">
        <v>22</v>
      </c>
      <c r="V124" s="16">
        <v>0</v>
      </c>
      <c r="W124" s="16">
        <v>0</v>
      </c>
      <c r="X124" s="16">
        <v>0</v>
      </c>
      <c r="Y124" s="16">
        <v>70</v>
      </c>
      <c r="Z124" s="16">
        <v>30</v>
      </c>
      <c r="AA124" s="16">
        <v>0</v>
      </c>
      <c r="AB124" s="16">
        <v>0</v>
      </c>
      <c r="AC124" s="16"/>
      <c r="AD124" s="24">
        <v>2002</v>
      </c>
      <c r="AE124" s="23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</row>
    <row r="125" spans="1:84" s="2" customFormat="1" x14ac:dyDescent="0.2">
      <c r="A125" s="17" t="s">
        <v>3921</v>
      </c>
      <c r="B125" s="17" t="s">
        <v>45</v>
      </c>
      <c r="C125" s="17">
        <v>2025</v>
      </c>
      <c r="D125" s="17" t="str">
        <f t="array" ref="D125">_xlfn.SWITCH(E125,"Bagor","35.18.14","Sukomoro",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25" s="16" t="s">
        <v>92</v>
      </c>
      <c r="F125" s="33" t="s">
        <v>448</v>
      </c>
      <c r="G125" s="33" t="s">
        <v>449</v>
      </c>
      <c r="H125" s="16" t="s">
        <v>47</v>
      </c>
      <c r="I125" s="16">
        <v>63</v>
      </c>
      <c r="J125" s="16">
        <v>25</v>
      </c>
      <c r="K125" s="16">
        <f t="shared" si="1"/>
        <v>88</v>
      </c>
      <c r="L125" s="44">
        <v>150000000</v>
      </c>
      <c r="M125" s="17" t="s">
        <v>258</v>
      </c>
      <c r="N125" s="45">
        <v>120000</v>
      </c>
      <c r="O125" s="16" t="s">
        <v>259</v>
      </c>
      <c r="P125" s="30">
        <v>3575000000</v>
      </c>
      <c r="Q125" s="17" t="s">
        <v>260</v>
      </c>
      <c r="R125" s="18">
        <v>100000</v>
      </c>
      <c r="S125" s="16" t="s">
        <v>450</v>
      </c>
      <c r="T125" s="46">
        <v>1780750000</v>
      </c>
      <c r="U125" s="20" t="s">
        <v>22</v>
      </c>
      <c r="V125" s="16">
        <v>0</v>
      </c>
      <c r="W125" s="16">
        <v>0</v>
      </c>
      <c r="X125" s="16">
        <v>0</v>
      </c>
      <c r="Y125" s="16">
        <v>35</v>
      </c>
      <c r="Z125" s="16">
        <v>40</v>
      </c>
      <c r="AA125" s="16">
        <v>25</v>
      </c>
      <c r="AB125" s="16">
        <v>0</v>
      </c>
      <c r="AC125" s="16"/>
      <c r="AD125" s="24">
        <v>2002</v>
      </c>
      <c r="AE125" s="23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</row>
    <row r="126" spans="1:84" s="2" customFormat="1" x14ac:dyDescent="0.2">
      <c r="A126" s="17" t="s">
        <v>3921</v>
      </c>
      <c r="B126" s="17" t="s">
        <v>45</v>
      </c>
      <c r="C126" s="17">
        <v>2025</v>
      </c>
      <c r="D126" s="17" t="str">
        <f t="array" ref="D126">_xlfn.SWITCH(E126,"Bagor","35.18.14","Sukomoro",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6" s="16" t="s">
        <v>45</v>
      </c>
      <c r="F126" s="40" t="s">
        <v>451</v>
      </c>
      <c r="G126" s="17" t="s">
        <v>452</v>
      </c>
      <c r="H126" s="16" t="s">
        <v>31</v>
      </c>
      <c r="I126" s="16">
        <v>14</v>
      </c>
      <c r="J126" s="16">
        <v>114</v>
      </c>
      <c r="K126" s="16">
        <f t="shared" si="1"/>
        <v>128</v>
      </c>
      <c r="L126" s="36">
        <v>40000000</v>
      </c>
      <c r="M126" s="17" t="s">
        <v>453</v>
      </c>
      <c r="N126" s="18">
        <v>78000000</v>
      </c>
      <c r="O126" s="16" t="s">
        <v>454</v>
      </c>
      <c r="P126" s="18">
        <v>29172000000</v>
      </c>
      <c r="Q126" s="17" t="s">
        <v>34</v>
      </c>
      <c r="R126" s="18">
        <v>7800</v>
      </c>
      <c r="S126" s="16" t="s">
        <v>35</v>
      </c>
      <c r="T126" s="36">
        <v>8313014000</v>
      </c>
      <c r="U126" s="20" t="s">
        <v>22</v>
      </c>
      <c r="V126" s="16">
        <v>0</v>
      </c>
      <c r="W126" s="16">
        <v>0</v>
      </c>
      <c r="X126" s="16">
        <v>0</v>
      </c>
      <c r="Y126" s="16">
        <v>30</v>
      </c>
      <c r="Z126" s="16">
        <v>30</v>
      </c>
      <c r="AA126" s="16">
        <v>40</v>
      </c>
      <c r="AB126" s="16">
        <v>0</v>
      </c>
      <c r="AC126" s="16" t="s">
        <v>455</v>
      </c>
      <c r="AD126" s="22">
        <v>38960</v>
      </c>
      <c r="AE126" s="23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</row>
    <row r="127" spans="1:84" s="2" customFormat="1" x14ac:dyDescent="0.2">
      <c r="A127" s="17" t="s">
        <v>3921</v>
      </c>
      <c r="B127" s="17" t="s">
        <v>45</v>
      </c>
      <c r="C127" s="17">
        <v>2025</v>
      </c>
      <c r="D127" s="17" t="str">
        <f t="array" ref="D127">_xlfn.SWITCH(E127,"Bagor","35.18.14","Sukomoro",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7" s="16" t="s">
        <v>45</v>
      </c>
      <c r="F127" s="17" t="s">
        <v>456</v>
      </c>
      <c r="G127" s="17" t="s">
        <v>457</v>
      </c>
      <c r="H127" s="16" t="s">
        <v>31</v>
      </c>
      <c r="I127" s="16">
        <v>5</v>
      </c>
      <c r="J127" s="16">
        <v>40</v>
      </c>
      <c r="K127" s="16">
        <f t="shared" si="1"/>
        <v>45</v>
      </c>
      <c r="L127" s="36">
        <v>150000000</v>
      </c>
      <c r="M127" s="17" t="s">
        <v>32</v>
      </c>
      <c r="N127" s="18">
        <v>7726000</v>
      </c>
      <c r="O127" s="16" t="s">
        <v>33</v>
      </c>
      <c r="P127" s="18">
        <v>1390680000</v>
      </c>
      <c r="Q127" s="17" t="s">
        <v>34</v>
      </c>
      <c r="R127" s="18">
        <v>775</v>
      </c>
      <c r="S127" s="16" t="s">
        <v>35</v>
      </c>
      <c r="T127" s="36">
        <v>751029000</v>
      </c>
      <c r="U127" s="20" t="s">
        <v>22</v>
      </c>
      <c r="V127" s="16">
        <v>0</v>
      </c>
      <c r="W127" s="16">
        <v>0</v>
      </c>
      <c r="X127" s="16">
        <v>0</v>
      </c>
      <c r="Y127" s="16">
        <v>60</v>
      </c>
      <c r="Z127" s="16">
        <v>40</v>
      </c>
      <c r="AA127" s="16">
        <v>0</v>
      </c>
      <c r="AB127" s="16">
        <v>0</v>
      </c>
      <c r="AC127" s="16" t="s">
        <v>458</v>
      </c>
      <c r="AD127" s="22">
        <v>39157</v>
      </c>
      <c r="AE127" s="23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</row>
    <row r="128" spans="1:84" s="2" customFormat="1" x14ac:dyDescent="0.2">
      <c r="A128" s="17" t="s">
        <v>3921</v>
      </c>
      <c r="B128" s="17" t="s">
        <v>45</v>
      </c>
      <c r="C128" s="17">
        <v>2025</v>
      </c>
      <c r="D128" s="17" t="str">
        <f t="array" ref="D128">_xlfn.SWITCH(E128,"Bagor","35.18.14","Sukomoro",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8" s="16" t="s">
        <v>45</v>
      </c>
      <c r="F128" s="33" t="s">
        <v>206</v>
      </c>
      <c r="G128" s="17" t="s">
        <v>459</v>
      </c>
      <c r="H128" s="16" t="s">
        <v>31</v>
      </c>
      <c r="I128" s="16">
        <v>11</v>
      </c>
      <c r="J128" s="16">
        <v>23</v>
      </c>
      <c r="K128" s="16">
        <f t="shared" si="1"/>
        <v>34</v>
      </c>
      <c r="L128" s="36">
        <v>42700000</v>
      </c>
      <c r="M128" s="17" t="s">
        <v>460</v>
      </c>
      <c r="N128" s="18" t="s">
        <v>461</v>
      </c>
      <c r="O128" s="16" t="s">
        <v>83</v>
      </c>
      <c r="P128" s="18">
        <v>112500000</v>
      </c>
      <c r="Q128" s="17" t="s">
        <v>159</v>
      </c>
      <c r="R128" s="18">
        <v>125</v>
      </c>
      <c r="S128" s="16" t="s">
        <v>83</v>
      </c>
      <c r="T128" s="36">
        <v>56500000</v>
      </c>
      <c r="U128" s="20" t="s">
        <v>22</v>
      </c>
      <c r="V128" s="16">
        <v>0</v>
      </c>
      <c r="W128" s="16">
        <v>0</v>
      </c>
      <c r="X128" s="16">
        <v>0</v>
      </c>
      <c r="Y128" s="16">
        <v>60</v>
      </c>
      <c r="Z128" s="16">
        <v>40</v>
      </c>
      <c r="AA128" s="16">
        <v>0</v>
      </c>
      <c r="AB128" s="16">
        <v>0</v>
      </c>
      <c r="AC128" s="16"/>
      <c r="AD128" s="24">
        <v>2002</v>
      </c>
      <c r="AE128" s="23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</row>
    <row r="129" spans="1:84" s="2" customFormat="1" x14ac:dyDescent="0.2">
      <c r="A129" s="17" t="s">
        <v>3921</v>
      </c>
      <c r="B129" s="17" t="s">
        <v>45</v>
      </c>
      <c r="C129" s="17">
        <v>2025</v>
      </c>
      <c r="D129" s="17" t="str">
        <f t="array" ref="D129">_xlfn.SWITCH(E129,"Bagor","35.18.14","Sukomoro",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" s="16" t="s">
        <v>45</v>
      </c>
      <c r="F129" s="40" t="s">
        <v>462</v>
      </c>
      <c r="G129" s="17" t="s">
        <v>463</v>
      </c>
      <c r="H129" s="16" t="s">
        <v>31</v>
      </c>
      <c r="I129" s="16">
        <v>19</v>
      </c>
      <c r="J129" s="16">
        <v>6</v>
      </c>
      <c r="K129" s="16">
        <f t="shared" si="1"/>
        <v>25</v>
      </c>
      <c r="L129" s="36">
        <v>40000000</v>
      </c>
      <c r="M129" s="17" t="s">
        <v>464</v>
      </c>
      <c r="N129" s="18">
        <v>12000000</v>
      </c>
      <c r="O129" s="16" t="s">
        <v>454</v>
      </c>
      <c r="P129" s="18">
        <v>4488000000</v>
      </c>
      <c r="Q129" s="17" t="s">
        <v>34</v>
      </c>
      <c r="R129" s="18">
        <v>1200</v>
      </c>
      <c r="S129" s="16" t="s">
        <v>35</v>
      </c>
      <c r="T129" s="36">
        <v>1148156000</v>
      </c>
      <c r="U129" s="20" t="s">
        <v>22</v>
      </c>
      <c r="V129" s="16">
        <v>0</v>
      </c>
      <c r="W129" s="16">
        <v>0</v>
      </c>
      <c r="X129" s="16">
        <v>0</v>
      </c>
      <c r="Y129" s="16">
        <v>40</v>
      </c>
      <c r="Z129" s="16">
        <v>30</v>
      </c>
      <c r="AA129" s="16">
        <v>30</v>
      </c>
      <c r="AB129" s="16">
        <v>0</v>
      </c>
      <c r="AC129" s="16"/>
      <c r="AD129" s="24">
        <v>2002</v>
      </c>
      <c r="AE129" s="23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</row>
    <row r="130" spans="1:84" s="2" customFormat="1" x14ac:dyDescent="0.2">
      <c r="A130" s="17" t="s">
        <v>3921</v>
      </c>
      <c r="B130" s="17" t="s">
        <v>45</v>
      </c>
      <c r="C130" s="17">
        <v>2025</v>
      </c>
      <c r="D130" s="17" t="str">
        <f t="array" ref="D130">_xlfn.SWITCH(E130,"Bagor","35.18.14","Sukomoro",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0" s="16" t="s">
        <v>45</v>
      </c>
      <c r="F130" s="17" t="s">
        <v>465</v>
      </c>
      <c r="G130" s="17" t="s">
        <v>466</v>
      </c>
      <c r="H130" s="16" t="s">
        <v>31</v>
      </c>
      <c r="I130" s="16">
        <v>3</v>
      </c>
      <c r="J130" s="16">
        <v>4</v>
      </c>
      <c r="K130" s="16">
        <f t="shared" si="1"/>
        <v>7</v>
      </c>
      <c r="L130" s="36">
        <v>16250000</v>
      </c>
      <c r="M130" s="17" t="s">
        <v>467</v>
      </c>
      <c r="N130" s="18">
        <v>1750</v>
      </c>
      <c r="O130" s="16" t="s">
        <v>468</v>
      </c>
      <c r="P130" s="18">
        <v>42000000</v>
      </c>
      <c r="Q130" s="17" t="s">
        <v>469</v>
      </c>
      <c r="R130" s="18" t="s">
        <v>470</v>
      </c>
      <c r="S130" s="16" t="s">
        <v>471</v>
      </c>
      <c r="T130" s="36">
        <v>17500000</v>
      </c>
      <c r="U130" s="20" t="s">
        <v>22</v>
      </c>
      <c r="V130" s="16">
        <v>0</v>
      </c>
      <c r="W130" s="16">
        <v>0</v>
      </c>
      <c r="X130" s="16">
        <v>0</v>
      </c>
      <c r="Y130" s="16">
        <v>70</v>
      </c>
      <c r="Z130" s="16">
        <v>30</v>
      </c>
      <c r="AA130" s="16">
        <v>0</v>
      </c>
      <c r="AB130" s="16">
        <v>0</v>
      </c>
      <c r="AC130" s="16"/>
      <c r="AD130" s="24">
        <v>2002</v>
      </c>
      <c r="AE130" s="23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</row>
    <row r="131" spans="1:84" s="2" customFormat="1" x14ac:dyDescent="0.2">
      <c r="A131" s="17" t="s">
        <v>3921</v>
      </c>
      <c r="B131" s="17" t="s">
        <v>45</v>
      </c>
      <c r="C131" s="17">
        <v>2025</v>
      </c>
      <c r="D131" s="17" t="str">
        <f t="array" ref="D131">_xlfn.SWITCH(E131,"Bagor","35.18.14","Sukomoro",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1" s="16" t="s">
        <v>45</v>
      </c>
      <c r="F131" s="33" t="s">
        <v>472</v>
      </c>
      <c r="G131" s="17" t="s">
        <v>473</v>
      </c>
      <c r="H131" s="16" t="s">
        <v>31</v>
      </c>
      <c r="I131" s="16">
        <v>24</v>
      </c>
      <c r="J131" s="16">
        <v>5</v>
      </c>
      <c r="K131" s="16">
        <f t="shared" ref="K131:K194" si="2">J131+I131</f>
        <v>29</v>
      </c>
      <c r="L131" s="36">
        <v>25000000</v>
      </c>
      <c r="M131" s="17" t="s">
        <v>258</v>
      </c>
      <c r="N131" s="18">
        <v>8500</v>
      </c>
      <c r="O131" s="16" t="s">
        <v>259</v>
      </c>
      <c r="P131" s="18">
        <v>250000000</v>
      </c>
      <c r="Q131" s="17" t="s">
        <v>260</v>
      </c>
      <c r="R131" s="18">
        <v>10000</v>
      </c>
      <c r="S131" s="16" t="s">
        <v>450</v>
      </c>
      <c r="T131" s="36">
        <v>108900000</v>
      </c>
      <c r="U131" s="20" t="s">
        <v>22</v>
      </c>
      <c r="V131" s="16">
        <v>0</v>
      </c>
      <c r="W131" s="16">
        <v>0</v>
      </c>
      <c r="X131" s="16">
        <v>0</v>
      </c>
      <c r="Y131" s="16">
        <v>25</v>
      </c>
      <c r="Z131" s="16">
        <v>30</v>
      </c>
      <c r="AA131" s="16">
        <v>45</v>
      </c>
      <c r="AB131" s="16">
        <v>0</v>
      </c>
      <c r="AC131" s="16"/>
      <c r="AD131" s="24">
        <v>2002</v>
      </c>
      <c r="AE131" s="23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</row>
    <row r="132" spans="1:84" s="2" customFormat="1" x14ac:dyDescent="0.2">
      <c r="A132" s="17" t="s">
        <v>3921</v>
      </c>
      <c r="B132" s="17" t="s">
        <v>45</v>
      </c>
      <c r="C132" s="17">
        <v>2025</v>
      </c>
      <c r="D132" s="17" t="str">
        <f t="array" ref="D132">_xlfn.SWITCH(E132,"Bagor","35.18.14","Sukomoro",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2" s="16" t="s">
        <v>45</v>
      </c>
      <c r="F132" s="17" t="s">
        <v>474</v>
      </c>
      <c r="G132" s="17" t="s">
        <v>475</v>
      </c>
      <c r="H132" s="16" t="s">
        <v>31</v>
      </c>
      <c r="I132" s="16">
        <v>4</v>
      </c>
      <c r="J132" s="16">
        <v>3</v>
      </c>
      <c r="K132" s="16">
        <f t="shared" si="2"/>
        <v>7</v>
      </c>
      <c r="L132" s="36">
        <v>55000000</v>
      </c>
      <c r="M132" s="17" t="s">
        <v>444</v>
      </c>
      <c r="N132" s="18">
        <v>2800</v>
      </c>
      <c r="O132" s="16" t="s">
        <v>447</v>
      </c>
      <c r="P132" s="18">
        <v>740000000</v>
      </c>
      <c r="Q132" s="17" t="s">
        <v>446</v>
      </c>
      <c r="R132" s="18">
        <v>3000</v>
      </c>
      <c r="S132" s="16" t="s">
        <v>447</v>
      </c>
      <c r="T132" s="36">
        <v>235000000</v>
      </c>
      <c r="U132" s="20" t="s">
        <v>22</v>
      </c>
      <c r="V132" s="16">
        <v>0</v>
      </c>
      <c r="W132" s="16">
        <v>0</v>
      </c>
      <c r="X132" s="16">
        <v>0</v>
      </c>
      <c r="Y132" s="16">
        <v>70</v>
      </c>
      <c r="Z132" s="16">
        <v>30</v>
      </c>
      <c r="AA132" s="16">
        <v>0</v>
      </c>
      <c r="AB132" s="16">
        <v>0</v>
      </c>
      <c r="AC132" s="16" t="s">
        <v>476</v>
      </c>
      <c r="AD132" s="22">
        <v>39736</v>
      </c>
      <c r="AE132" s="23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</row>
    <row r="133" spans="1:84" s="2" customFormat="1" x14ac:dyDescent="0.2">
      <c r="A133" s="17" t="s">
        <v>3921</v>
      </c>
      <c r="B133" s="17" t="s">
        <v>45</v>
      </c>
      <c r="C133" s="17">
        <v>2025</v>
      </c>
      <c r="D133" s="17" t="str">
        <f t="array" ref="D133">_xlfn.SWITCH(E133,"Bagor","35.18.14","Sukomoro",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3" s="16" t="s">
        <v>45</v>
      </c>
      <c r="F133" s="17" t="s">
        <v>477</v>
      </c>
      <c r="G133" s="17" t="s">
        <v>478</v>
      </c>
      <c r="H133" s="16" t="s">
        <v>31</v>
      </c>
      <c r="I133" s="16">
        <v>1</v>
      </c>
      <c r="J133" s="16">
        <v>5</v>
      </c>
      <c r="K133" s="16">
        <f t="shared" si="2"/>
        <v>6</v>
      </c>
      <c r="L133" s="36">
        <v>57500000</v>
      </c>
      <c r="M133" s="17" t="s">
        <v>48</v>
      </c>
      <c r="N133" s="18">
        <v>90</v>
      </c>
      <c r="O133" s="16" t="s">
        <v>211</v>
      </c>
      <c r="P133" s="18">
        <v>45500000</v>
      </c>
      <c r="Q133" s="17" t="s">
        <v>57</v>
      </c>
      <c r="R133" s="18">
        <v>30</v>
      </c>
      <c r="S133" s="16" t="s">
        <v>51</v>
      </c>
      <c r="T133" s="36">
        <v>13500000</v>
      </c>
      <c r="U133" s="20" t="s">
        <v>22</v>
      </c>
      <c r="V133" s="16" t="s">
        <v>52</v>
      </c>
      <c r="W133" s="16">
        <v>600</v>
      </c>
      <c r="X133" s="16" t="s">
        <v>53</v>
      </c>
      <c r="Y133" s="16">
        <v>65</v>
      </c>
      <c r="Z133" s="16">
        <v>35</v>
      </c>
      <c r="AA133" s="16">
        <v>0</v>
      </c>
      <c r="AB133" s="16">
        <v>0</v>
      </c>
      <c r="AC133" s="16"/>
      <c r="AD133" s="24">
        <v>2002</v>
      </c>
      <c r="AE133" s="23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</row>
    <row r="134" spans="1:84" s="2" customFormat="1" x14ac:dyDescent="0.2">
      <c r="A134" s="17" t="s">
        <v>3921</v>
      </c>
      <c r="B134" s="17" t="s">
        <v>45</v>
      </c>
      <c r="C134" s="17">
        <v>2025</v>
      </c>
      <c r="D134" s="17" t="str">
        <f t="array" ref="D134">_xlfn.SWITCH(E134,"Bagor","35.18.14","Sukomoro",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4" s="16" t="s">
        <v>45</v>
      </c>
      <c r="F134" s="17" t="s">
        <v>479</v>
      </c>
      <c r="G134" s="17" t="s">
        <v>480</v>
      </c>
      <c r="H134" s="16" t="s">
        <v>31</v>
      </c>
      <c r="I134" s="16">
        <v>6</v>
      </c>
      <c r="J134" s="16">
        <v>15</v>
      </c>
      <c r="K134" s="16">
        <f t="shared" si="2"/>
        <v>21</v>
      </c>
      <c r="L134" s="36">
        <v>58000000</v>
      </c>
      <c r="M134" s="17" t="s">
        <v>467</v>
      </c>
      <c r="N134" s="18">
        <v>385000</v>
      </c>
      <c r="O134" s="16" t="s">
        <v>152</v>
      </c>
      <c r="P134" s="18">
        <v>57750000</v>
      </c>
      <c r="Q134" s="17" t="s">
        <v>481</v>
      </c>
      <c r="R134" s="18">
        <v>110</v>
      </c>
      <c r="S134" s="16" t="s">
        <v>51</v>
      </c>
      <c r="T134" s="36">
        <v>15125000</v>
      </c>
      <c r="U134" s="20" t="s">
        <v>22</v>
      </c>
      <c r="V134" s="16">
        <v>0</v>
      </c>
      <c r="W134" s="16">
        <v>0</v>
      </c>
      <c r="X134" s="16">
        <v>0</v>
      </c>
      <c r="Y134" s="16">
        <v>70</v>
      </c>
      <c r="Z134" s="16">
        <v>30</v>
      </c>
      <c r="AA134" s="16">
        <v>0</v>
      </c>
      <c r="AB134" s="16">
        <v>0</v>
      </c>
      <c r="AC134" s="16"/>
      <c r="AD134" s="24">
        <v>2002</v>
      </c>
      <c r="AE134" s="23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</row>
    <row r="135" spans="1:84" s="2" customFormat="1" ht="20" x14ac:dyDescent="0.2">
      <c r="A135" s="17" t="s">
        <v>3921</v>
      </c>
      <c r="B135" s="17" t="s">
        <v>45</v>
      </c>
      <c r="C135" s="17">
        <v>2025</v>
      </c>
      <c r="D135" s="17" t="str">
        <f t="array" ref="D135">_xlfn.SWITCH(E135,"Bagor","35.18.14","Sukomoro",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5" s="16" t="s">
        <v>45</v>
      </c>
      <c r="F135" s="33" t="s">
        <v>322</v>
      </c>
      <c r="G135" s="17" t="s">
        <v>482</v>
      </c>
      <c r="H135" s="16" t="s">
        <v>47</v>
      </c>
      <c r="I135" s="16">
        <v>3</v>
      </c>
      <c r="J135" s="16">
        <v>9</v>
      </c>
      <c r="K135" s="16">
        <f t="shared" si="2"/>
        <v>12</v>
      </c>
      <c r="L135" s="36">
        <v>20000000</v>
      </c>
      <c r="M135" s="17" t="s">
        <v>48</v>
      </c>
      <c r="N135" s="18" t="s">
        <v>483</v>
      </c>
      <c r="O135" s="16" t="s">
        <v>484</v>
      </c>
      <c r="P135" s="30">
        <v>89464000</v>
      </c>
      <c r="Q135" s="17" t="s">
        <v>57</v>
      </c>
      <c r="R135" s="18">
        <v>70</v>
      </c>
      <c r="S135" s="16" t="s">
        <v>51</v>
      </c>
      <c r="T135" s="36">
        <v>29800000</v>
      </c>
      <c r="U135" s="20" t="s">
        <v>22</v>
      </c>
      <c r="V135" s="16" t="s">
        <v>52</v>
      </c>
      <c r="W135" s="16">
        <v>400</v>
      </c>
      <c r="X135" s="16" t="s">
        <v>53</v>
      </c>
      <c r="Y135" s="16">
        <v>60</v>
      </c>
      <c r="Z135" s="16">
        <v>40</v>
      </c>
      <c r="AA135" s="16">
        <v>0</v>
      </c>
      <c r="AB135" s="16">
        <v>0</v>
      </c>
      <c r="AC135" s="16"/>
      <c r="AD135" s="34">
        <v>39133</v>
      </c>
      <c r="AE135" s="23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</row>
    <row r="136" spans="1:84" s="2" customFormat="1" x14ac:dyDescent="0.2">
      <c r="A136" s="17" t="s">
        <v>3921</v>
      </c>
      <c r="B136" s="17" t="s">
        <v>45</v>
      </c>
      <c r="C136" s="17">
        <v>2025</v>
      </c>
      <c r="D136" s="17" t="str">
        <f t="array" ref="D136">_xlfn.SWITCH(E136,"Bagor","35.18.14","Sukomoro",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6" s="16" t="s">
        <v>45</v>
      </c>
      <c r="F136" s="33" t="s">
        <v>86</v>
      </c>
      <c r="G136" s="17" t="s">
        <v>485</v>
      </c>
      <c r="H136" s="16" t="s">
        <v>47</v>
      </c>
      <c r="I136" s="16">
        <v>5</v>
      </c>
      <c r="J136" s="16">
        <v>9</v>
      </c>
      <c r="K136" s="16">
        <f t="shared" si="2"/>
        <v>14</v>
      </c>
      <c r="L136" s="36">
        <v>37500000</v>
      </c>
      <c r="M136" s="17" t="s">
        <v>48</v>
      </c>
      <c r="N136" s="18">
        <v>70</v>
      </c>
      <c r="O136" s="16" t="s">
        <v>211</v>
      </c>
      <c r="P136" s="18">
        <v>35560000</v>
      </c>
      <c r="Q136" s="17" t="s">
        <v>57</v>
      </c>
      <c r="R136" s="18">
        <v>24</v>
      </c>
      <c r="S136" s="16" t="s">
        <v>51</v>
      </c>
      <c r="T136" s="36">
        <v>10800000</v>
      </c>
      <c r="U136" s="20" t="s">
        <v>22</v>
      </c>
      <c r="V136" s="16" t="s">
        <v>52</v>
      </c>
      <c r="W136" s="16">
        <v>450</v>
      </c>
      <c r="X136" s="16" t="s">
        <v>53</v>
      </c>
      <c r="Y136" s="16">
        <v>55</v>
      </c>
      <c r="Z136" s="16">
        <v>45</v>
      </c>
      <c r="AA136" s="16">
        <v>0</v>
      </c>
      <c r="AB136" s="16">
        <v>0</v>
      </c>
      <c r="AC136" s="16"/>
      <c r="AD136" s="24">
        <v>2002</v>
      </c>
      <c r="AE136" s="23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</row>
    <row r="137" spans="1:84" s="2" customFormat="1" x14ac:dyDescent="0.2">
      <c r="A137" s="17" t="s">
        <v>3921</v>
      </c>
      <c r="B137" s="17" t="s">
        <v>45</v>
      </c>
      <c r="C137" s="17">
        <v>2025</v>
      </c>
      <c r="D137" s="17" t="str">
        <f t="array" ref="D137">_xlfn.SWITCH(E137,"Bagor","35.18.14","Sukomoro",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7" s="16" t="s">
        <v>45</v>
      </c>
      <c r="F137" s="17" t="s">
        <v>486</v>
      </c>
      <c r="G137" s="17" t="s">
        <v>317</v>
      </c>
      <c r="H137" s="16" t="s">
        <v>47</v>
      </c>
      <c r="I137" s="16">
        <v>3</v>
      </c>
      <c r="J137" s="16">
        <v>6</v>
      </c>
      <c r="K137" s="16">
        <f t="shared" si="2"/>
        <v>9</v>
      </c>
      <c r="L137" s="36">
        <v>37600000</v>
      </c>
      <c r="M137" s="17" t="s">
        <v>487</v>
      </c>
      <c r="N137" s="18">
        <v>1100</v>
      </c>
      <c r="O137" s="16" t="s">
        <v>35</v>
      </c>
      <c r="P137" s="18">
        <v>132000000</v>
      </c>
      <c r="Q137" s="17" t="s">
        <v>488</v>
      </c>
      <c r="R137" s="18">
        <v>1200</v>
      </c>
      <c r="S137" s="16" t="s">
        <v>35</v>
      </c>
      <c r="T137" s="36">
        <v>72000000</v>
      </c>
      <c r="U137" s="20" t="s">
        <v>22</v>
      </c>
      <c r="V137" s="16">
        <v>0</v>
      </c>
      <c r="W137" s="16">
        <v>0</v>
      </c>
      <c r="X137" s="16">
        <v>0</v>
      </c>
      <c r="Y137" s="16">
        <v>100</v>
      </c>
      <c r="Z137" s="16">
        <v>0</v>
      </c>
      <c r="AA137" s="16">
        <v>0</v>
      </c>
      <c r="AB137" s="16">
        <v>0</v>
      </c>
      <c r="AC137" s="16"/>
      <c r="AD137" s="24">
        <v>2002</v>
      </c>
      <c r="AE137" s="23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</row>
    <row r="138" spans="1:84" s="2" customFormat="1" x14ac:dyDescent="0.2">
      <c r="A138" s="17" t="s">
        <v>3921</v>
      </c>
      <c r="B138" s="17" t="s">
        <v>45</v>
      </c>
      <c r="C138" s="17">
        <v>2025</v>
      </c>
      <c r="D138" s="17" t="str">
        <f t="array" ref="D138">_xlfn.SWITCH(E138,"Bagor","35.18.14","Sukomoro",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8" s="16" t="s">
        <v>45</v>
      </c>
      <c r="F138" s="17" t="s">
        <v>489</v>
      </c>
      <c r="G138" s="17" t="s">
        <v>490</v>
      </c>
      <c r="H138" s="16" t="s">
        <v>47</v>
      </c>
      <c r="I138" s="16">
        <v>2</v>
      </c>
      <c r="J138" s="16">
        <v>10</v>
      </c>
      <c r="K138" s="16">
        <f t="shared" si="2"/>
        <v>12</v>
      </c>
      <c r="L138" s="36">
        <v>127500000</v>
      </c>
      <c r="M138" s="17" t="s">
        <v>48</v>
      </c>
      <c r="N138" s="18" t="s">
        <v>491</v>
      </c>
      <c r="O138" s="16" t="s">
        <v>492</v>
      </c>
      <c r="P138" s="18">
        <v>41945000</v>
      </c>
      <c r="Q138" s="17" t="s">
        <v>57</v>
      </c>
      <c r="R138" s="18">
        <v>28</v>
      </c>
      <c r="S138" s="16" t="s">
        <v>51</v>
      </c>
      <c r="T138" s="36">
        <v>15120000</v>
      </c>
      <c r="U138" s="20" t="s">
        <v>22</v>
      </c>
      <c r="V138" s="16" t="s">
        <v>52</v>
      </c>
      <c r="W138" s="16">
        <v>280</v>
      </c>
      <c r="X138" s="16" t="s">
        <v>53</v>
      </c>
      <c r="Y138" s="16">
        <v>55</v>
      </c>
      <c r="Z138" s="16">
        <v>45</v>
      </c>
      <c r="AA138" s="16">
        <v>0</v>
      </c>
      <c r="AB138" s="16">
        <v>0</v>
      </c>
      <c r="AC138" s="16"/>
      <c r="AD138" s="24">
        <v>2002</v>
      </c>
      <c r="AE138" s="23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</row>
    <row r="139" spans="1:84" s="2" customFormat="1" x14ac:dyDescent="0.2">
      <c r="A139" s="17" t="s">
        <v>3921</v>
      </c>
      <c r="B139" s="17" t="s">
        <v>45</v>
      </c>
      <c r="C139" s="17">
        <v>2025</v>
      </c>
      <c r="D139" s="17" t="str">
        <f t="array" ref="D139">_xlfn.SWITCH(E139,"Bagor","35.18.14","Sukomoro",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9" s="16" t="s">
        <v>45</v>
      </c>
      <c r="F139" s="33" t="s">
        <v>493</v>
      </c>
      <c r="G139" s="17" t="s">
        <v>494</v>
      </c>
      <c r="H139" s="16" t="s">
        <v>47</v>
      </c>
      <c r="I139" s="16">
        <v>1</v>
      </c>
      <c r="J139" s="16">
        <v>5</v>
      </c>
      <c r="K139" s="16">
        <f t="shared" si="2"/>
        <v>6</v>
      </c>
      <c r="L139" s="36">
        <v>155000000</v>
      </c>
      <c r="M139" s="17" t="s">
        <v>48</v>
      </c>
      <c r="N139" s="18">
        <v>90</v>
      </c>
      <c r="O139" s="16" t="s">
        <v>211</v>
      </c>
      <c r="P139" s="18">
        <v>45680000</v>
      </c>
      <c r="Q139" s="17" t="s">
        <v>57</v>
      </c>
      <c r="R139" s="18">
        <v>30</v>
      </c>
      <c r="S139" s="16" t="s">
        <v>51</v>
      </c>
      <c r="T139" s="36">
        <v>13500000</v>
      </c>
      <c r="U139" s="20" t="s">
        <v>22</v>
      </c>
      <c r="V139" s="16" t="s">
        <v>52</v>
      </c>
      <c r="W139" s="16">
        <v>300</v>
      </c>
      <c r="X139" s="16" t="s">
        <v>53</v>
      </c>
      <c r="Y139" s="16">
        <v>70</v>
      </c>
      <c r="Z139" s="16">
        <v>30</v>
      </c>
      <c r="AA139" s="16">
        <v>0</v>
      </c>
      <c r="AB139" s="16">
        <v>0</v>
      </c>
      <c r="AC139" s="16"/>
      <c r="AD139" s="24">
        <v>2002</v>
      </c>
      <c r="AE139" s="23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</row>
    <row r="140" spans="1:84" s="2" customFormat="1" x14ac:dyDescent="0.2">
      <c r="A140" s="17" t="s">
        <v>3921</v>
      </c>
      <c r="B140" s="17" t="s">
        <v>45</v>
      </c>
      <c r="C140" s="17">
        <v>2025</v>
      </c>
      <c r="D140" s="17" t="str">
        <f t="array" ref="D140">_xlfn.SWITCH(E140,"Bagor","35.18.14","Sukomoro",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0" s="16" t="s">
        <v>45</v>
      </c>
      <c r="F140" s="17" t="s">
        <v>495</v>
      </c>
      <c r="G140" s="17" t="s">
        <v>496</v>
      </c>
      <c r="H140" s="16" t="s">
        <v>47</v>
      </c>
      <c r="I140" s="16">
        <v>0</v>
      </c>
      <c r="J140" s="16">
        <v>6</v>
      </c>
      <c r="K140" s="16">
        <f t="shared" si="2"/>
        <v>6</v>
      </c>
      <c r="L140" s="36">
        <v>147500000</v>
      </c>
      <c r="M140" s="17" t="s">
        <v>48</v>
      </c>
      <c r="N140" s="18" t="s">
        <v>497</v>
      </c>
      <c r="O140" s="16" t="s">
        <v>498</v>
      </c>
      <c r="P140" s="18">
        <v>44130000</v>
      </c>
      <c r="Q140" s="17" t="s">
        <v>57</v>
      </c>
      <c r="R140" s="18">
        <v>30</v>
      </c>
      <c r="S140" s="16" t="s">
        <v>51</v>
      </c>
      <c r="T140" s="36">
        <v>13500000</v>
      </c>
      <c r="U140" s="20" t="s">
        <v>22</v>
      </c>
      <c r="V140" s="16" t="s">
        <v>52</v>
      </c>
      <c r="W140" s="16">
        <v>300</v>
      </c>
      <c r="X140" s="16" t="s">
        <v>53</v>
      </c>
      <c r="Y140" s="16">
        <v>60</v>
      </c>
      <c r="Z140" s="16">
        <v>40</v>
      </c>
      <c r="AA140" s="16">
        <v>0</v>
      </c>
      <c r="AB140" s="16">
        <v>0</v>
      </c>
      <c r="AC140" s="16"/>
      <c r="AD140" s="24">
        <v>2002</v>
      </c>
      <c r="AE140" s="23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</row>
    <row r="141" spans="1:84" s="2" customFormat="1" x14ac:dyDescent="0.2">
      <c r="A141" s="17" t="s">
        <v>3921</v>
      </c>
      <c r="B141" s="17" t="s">
        <v>45</v>
      </c>
      <c r="C141" s="17">
        <v>2025</v>
      </c>
      <c r="D141" s="17" t="str">
        <f t="array" ref="D141">_xlfn.SWITCH(E141,"Bagor","35.18.14","Sukomoro",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1" s="16" t="s">
        <v>45</v>
      </c>
      <c r="F141" s="17" t="s">
        <v>499</v>
      </c>
      <c r="G141" s="17" t="s">
        <v>500</v>
      </c>
      <c r="H141" s="16" t="s">
        <v>47</v>
      </c>
      <c r="I141" s="16">
        <v>3</v>
      </c>
      <c r="J141" s="16">
        <v>15</v>
      </c>
      <c r="K141" s="16">
        <f t="shared" si="2"/>
        <v>18</v>
      </c>
      <c r="L141" s="36">
        <v>200000000</v>
      </c>
      <c r="M141" s="17" t="s">
        <v>501</v>
      </c>
      <c r="N141" s="18" t="s">
        <v>502</v>
      </c>
      <c r="O141" s="16" t="s">
        <v>503</v>
      </c>
      <c r="P141" s="18">
        <v>687500000</v>
      </c>
      <c r="Q141" s="17" t="s">
        <v>504</v>
      </c>
      <c r="R141" s="18">
        <v>5000</v>
      </c>
      <c r="S141" s="16" t="s">
        <v>505</v>
      </c>
      <c r="T141" s="36">
        <v>375000000</v>
      </c>
      <c r="U141" s="20" t="s">
        <v>22</v>
      </c>
      <c r="V141" s="16" t="s">
        <v>52</v>
      </c>
      <c r="W141" s="16">
        <v>400</v>
      </c>
      <c r="X141" s="16" t="s">
        <v>53</v>
      </c>
      <c r="Y141" s="16">
        <v>70</v>
      </c>
      <c r="Z141" s="16">
        <v>30</v>
      </c>
      <c r="AA141" s="16">
        <v>0</v>
      </c>
      <c r="AB141" s="16">
        <v>0</v>
      </c>
      <c r="AC141" s="16" t="s">
        <v>506</v>
      </c>
      <c r="AD141" s="22">
        <v>39542</v>
      </c>
      <c r="AE141" s="23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</row>
    <row r="142" spans="1:84" s="2" customFormat="1" x14ac:dyDescent="0.2">
      <c r="A142" s="17" t="s">
        <v>3921</v>
      </c>
      <c r="B142" s="17" t="s">
        <v>45</v>
      </c>
      <c r="C142" s="17">
        <v>2025</v>
      </c>
      <c r="D142" s="17" t="str">
        <f t="array" ref="D142">_xlfn.SWITCH(E142,"Bagor","35.18.14","Sukomoro",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2" s="16" t="s">
        <v>45</v>
      </c>
      <c r="F142" s="17" t="s">
        <v>507</v>
      </c>
      <c r="G142" s="17" t="s">
        <v>508</v>
      </c>
      <c r="H142" s="16" t="s">
        <v>47</v>
      </c>
      <c r="I142" s="16">
        <v>1</v>
      </c>
      <c r="J142" s="16">
        <v>20</v>
      </c>
      <c r="K142" s="16">
        <f t="shared" si="2"/>
        <v>21</v>
      </c>
      <c r="L142" s="36">
        <v>64500000</v>
      </c>
      <c r="M142" s="17" t="s">
        <v>72</v>
      </c>
      <c r="N142" s="18" t="s">
        <v>509</v>
      </c>
      <c r="O142" s="16" t="s">
        <v>510</v>
      </c>
      <c r="P142" s="18">
        <v>204850000</v>
      </c>
      <c r="Q142" s="17" t="s">
        <v>57</v>
      </c>
      <c r="R142" s="18">
        <v>210</v>
      </c>
      <c r="S142" s="16" t="s">
        <v>51</v>
      </c>
      <c r="T142" s="36">
        <v>94500000</v>
      </c>
      <c r="U142" s="20" t="s">
        <v>22</v>
      </c>
      <c r="V142" s="16" t="s">
        <v>52</v>
      </c>
      <c r="W142" s="16">
        <v>1200</v>
      </c>
      <c r="X142" s="16" t="s">
        <v>53</v>
      </c>
      <c r="Y142" s="16">
        <v>75</v>
      </c>
      <c r="Z142" s="16">
        <v>25</v>
      </c>
      <c r="AA142" s="16">
        <v>0</v>
      </c>
      <c r="AB142" s="16">
        <v>0</v>
      </c>
      <c r="AC142" s="16"/>
      <c r="AD142" s="24">
        <v>2002</v>
      </c>
      <c r="AE142" s="23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</row>
    <row r="143" spans="1:84" s="2" customFormat="1" x14ac:dyDescent="0.2">
      <c r="A143" s="17" t="s">
        <v>3921</v>
      </c>
      <c r="B143" s="17" t="s">
        <v>45</v>
      </c>
      <c r="C143" s="17">
        <v>2025</v>
      </c>
      <c r="D143" s="17" t="str">
        <f t="array" ref="D143">_xlfn.SWITCH(E143,"Bagor","35.18.14","Sukomoro",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3" s="16" t="s">
        <v>45</v>
      </c>
      <c r="F143" s="33" t="s">
        <v>44</v>
      </c>
      <c r="G143" s="17" t="s">
        <v>511</v>
      </c>
      <c r="H143" s="16" t="s">
        <v>47</v>
      </c>
      <c r="I143" s="16">
        <v>3</v>
      </c>
      <c r="J143" s="16">
        <v>6</v>
      </c>
      <c r="K143" s="16">
        <f t="shared" si="2"/>
        <v>9</v>
      </c>
      <c r="L143" s="36">
        <v>15000000</v>
      </c>
      <c r="M143" s="17" t="s">
        <v>512</v>
      </c>
      <c r="N143" s="18">
        <v>55</v>
      </c>
      <c r="O143" s="16" t="s">
        <v>83</v>
      </c>
      <c r="P143" s="18">
        <v>125000000</v>
      </c>
      <c r="Q143" s="17" t="s">
        <v>57</v>
      </c>
      <c r="R143" s="18" t="s">
        <v>513</v>
      </c>
      <c r="S143" s="16" t="s">
        <v>51</v>
      </c>
      <c r="T143" s="36">
        <v>41000000</v>
      </c>
      <c r="U143" s="20" t="s">
        <v>22</v>
      </c>
      <c r="V143" s="16" t="s">
        <v>438</v>
      </c>
      <c r="W143" s="16">
        <v>900</v>
      </c>
      <c r="X143" s="16" t="s">
        <v>53</v>
      </c>
      <c r="Y143" s="16">
        <v>80</v>
      </c>
      <c r="Z143" s="16">
        <v>20</v>
      </c>
      <c r="AA143" s="16">
        <v>0</v>
      </c>
      <c r="AB143" s="16">
        <v>0</v>
      </c>
      <c r="AC143" s="16"/>
      <c r="AD143" s="24">
        <v>2002</v>
      </c>
      <c r="AE143" s="23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</row>
    <row r="144" spans="1:84" s="2" customFormat="1" x14ac:dyDescent="0.2">
      <c r="A144" s="17" t="s">
        <v>3921</v>
      </c>
      <c r="B144" s="17" t="s">
        <v>45</v>
      </c>
      <c r="C144" s="17">
        <v>2025</v>
      </c>
      <c r="D144" s="17" t="str">
        <f t="array" ref="D144">_xlfn.SWITCH(E144,"Bagor","35.18.14","Sukomoro",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4" s="16" t="s">
        <v>45</v>
      </c>
      <c r="F144" s="17" t="s">
        <v>514</v>
      </c>
      <c r="G144" s="17" t="s">
        <v>515</v>
      </c>
      <c r="H144" s="16" t="s">
        <v>47</v>
      </c>
      <c r="I144" s="16">
        <v>6</v>
      </c>
      <c r="J144" s="16">
        <v>3</v>
      </c>
      <c r="K144" s="16">
        <f t="shared" si="2"/>
        <v>9</v>
      </c>
      <c r="L144" s="36">
        <v>120000000</v>
      </c>
      <c r="M144" s="17" t="s">
        <v>444</v>
      </c>
      <c r="N144" s="18">
        <v>700</v>
      </c>
      <c r="O144" s="16" t="s">
        <v>447</v>
      </c>
      <c r="P144" s="18">
        <v>122500000</v>
      </c>
      <c r="Q144" s="17" t="s">
        <v>446</v>
      </c>
      <c r="R144" s="18">
        <v>710</v>
      </c>
      <c r="S144" s="16" t="s">
        <v>447</v>
      </c>
      <c r="T144" s="36">
        <v>54850000</v>
      </c>
      <c r="U144" s="20" t="s">
        <v>22</v>
      </c>
      <c r="V144" s="16">
        <v>0</v>
      </c>
      <c r="W144" s="16">
        <v>0</v>
      </c>
      <c r="X144" s="16">
        <v>0</v>
      </c>
      <c r="Y144" s="16">
        <v>65</v>
      </c>
      <c r="Z144" s="16">
        <v>35</v>
      </c>
      <c r="AA144" s="16">
        <v>0</v>
      </c>
      <c r="AB144" s="16">
        <v>0</v>
      </c>
      <c r="AC144" s="16"/>
      <c r="AD144" s="24">
        <v>2002</v>
      </c>
      <c r="AE144" s="23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</row>
    <row r="145" spans="1:84" s="2" customFormat="1" x14ac:dyDescent="0.2">
      <c r="A145" s="17" t="s">
        <v>3921</v>
      </c>
      <c r="B145" s="17" t="s">
        <v>45</v>
      </c>
      <c r="C145" s="17">
        <v>2025</v>
      </c>
      <c r="D145" s="17" t="str">
        <f t="array" ref="D145">_xlfn.SWITCH(E145,"Bagor","35.18.14","Sukomoro",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5" s="16" t="s">
        <v>45</v>
      </c>
      <c r="F145" s="33" t="s">
        <v>493</v>
      </c>
      <c r="G145" s="17" t="s">
        <v>490</v>
      </c>
      <c r="H145" s="16" t="s">
        <v>47</v>
      </c>
      <c r="I145" s="16">
        <v>5</v>
      </c>
      <c r="J145" s="16">
        <v>4</v>
      </c>
      <c r="K145" s="16">
        <f t="shared" si="2"/>
        <v>9</v>
      </c>
      <c r="L145" s="36">
        <v>115000000</v>
      </c>
      <c r="M145" s="17" t="s">
        <v>444</v>
      </c>
      <c r="N145" s="18">
        <v>350</v>
      </c>
      <c r="O145" s="16" t="s">
        <v>447</v>
      </c>
      <c r="P145" s="18">
        <v>58800000</v>
      </c>
      <c r="Q145" s="17" t="s">
        <v>446</v>
      </c>
      <c r="R145" s="18">
        <v>360</v>
      </c>
      <c r="S145" s="16" t="s">
        <v>447</v>
      </c>
      <c r="T145" s="36">
        <v>32600000</v>
      </c>
      <c r="U145" s="20" t="s">
        <v>22</v>
      </c>
      <c r="V145" s="16">
        <v>0</v>
      </c>
      <c r="W145" s="16">
        <v>0</v>
      </c>
      <c r="X145" s="16">
        <v>0</v>
      </c>
      <c r="Y145" s="16">
        <v>70</v>
      </c>
      <c r="Z145" s="16">
        <v>30</v>
      </c>
      <c r="AA145" s="16">
        <v>0</v>
      </c>
      <c r="AB145" s="16">
        <v>0</v>
      </c>
      <c r="AC145" s="16"/>
      <c r="AD145" s="24">
        <v>2002</v>
      </c>
      <c r="AE145" s="23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</row>
    <row r="146" spans="1:84" s="2" customFormat="1" x14ac:dyDescent="0.2">
      <c r="A146" s="17" t="s">
        <v>3921</v>
      </c>
      <c r="B146" s="17" t="s">
        <v>45</v>
      </c>
      <c r="C146" s="17">
        <v>2025</v>
      </c>
      <c r="D146" s="17" t="str">
        <f t="array" ref="D146">_xlfn.SWITCH(E146,"Bagor","35.18.14","Sukomoro",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6" s="16" t="s">
        <v>45</v>
      </c>
      <c r="F146" s="40" t="s">
        <v>516</v>
      </c>
      <c r="G146" s="17" t="s">
        <v>517</v>
      </c>
      <c r="H146" s="16" t="s">
        <v>47</v>
      </c>
      <c r="I146" s="16">
        <v>6</v>
      </c>
      <c r="J146" s="16">
        <v>5</v>
      </c>
      <c r="K146" s="16">
        <f t="shared" si="2"/>
        <v>11</v>
      </c>
      <c r="L146" s="36">
        <v>20000000</v>
      </c>
      <c r="M146" s="17" t="s">
        <v>444</v>
      </c>
      <c r="N146" s="18">
        <v>1200</v>
      </c>
      <c r="O146" s="16" t="s">
        <v>447</v>
      </c>
      <c r="P146" s="18">
        <v>195600000</v>
      </c>
      <c r="Q146" s="17" t="s">
        <v>446</v>
      </c>
      <c r="R146" s="18">
        <v>1220</v>
      </c>
      <c r="S146" s="16" t="s">
        <v>447</v>
      </c>
      <c r="T146" s="36">
        <v>92700000</v>
      </c>
      <c r="U146" s="20" t="s">
        <v>22</v>
      </c>
      <c r="V146" s="16">
        <v>0</v>
      </c>
      <c r="W146" s="16">
        <v>0</v>
      </c>
      <c r="X146" s="16">
        <v>0</v>
      </c>
      <c r="Y146" s="16">
        <v>70</v>
      </c>
      <c r="Z146" s="16">
        <v>30</v>
      </c>
      <c r="AA146" s="16">
        <v>0</v>
      </c>
      <c r="AB146" s="16">
        <v>0</v>
      </c>
      <c r="AC146" s="16" t="s">
        <v>518</v>
      </c>
      <c r="AD146" s="22">
        <v>39653</v>
      </c>
      <c r="AE146" s="23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</row>
    <row r="147" spans="1:84" s="2" customFormat="1" x14ac:dyDescent="0.2">
      <c r="A147" s="17" t="s">
        <v>3921</v>
      </c>
      <c r="B147" s="17" t="s">
        <v>45</v>
      </c>
      <c r="C147" s="17">
        <v>2025</v>
      </c>
      <c r="D147" s="17" t="str">
        <f t="array" ref="D147">_xlfn.SWITCH(E147,"Bagor","35.18.14","Sukomoro",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7" s="16" t="s">
        <v>45</v>
      </c>
      <c r="F147" s="33" t="s">
        <v>519</v>
      </c>
      <c r="G147" s="17" t="s">
        <v>520</v>
      </c>
      <c r="H147" s="16" t="s">
        <v>31</v>
      </c>
      <c r="I147" s="16">
        <v>12</v>
      </c>
      <c r="J147" s="16">
        <v>5</v>
      </c>
      <c r="K147" s="16">
        <f t="shared" si="2"/>
        <v>17</v>
      </c>
      <c r="L147" s="36">
        <v>75000000</v>
      </c>
      <c r="M147" s="17" t="s">
        <v>48</v>
      </c>
      <c r="N147" s="18">
        <v>260</v>
      </c>
      <c r="O147" s="16" t="s">
        <v>49</v>
      </c>
      <c r="P147" s="18">
        <v>4200000</v>
      </c>
      <c r="Q147" s="17" t="s">
        <v>212</v>
      </c>
      <c r="R147" s="18">
        <v>60</v>
      </c>
      <c r="S147" s="16" t="s">
        <v>51</v>
      </c>
      <c r="T147" s="36">
        <v>1500000</v>
      </c>
      <c r="U147" s="20" t="s">
        <v>22</v>
      </c>
      <c r="V147" s="16">
        <v>0</v>
      </c>
      <c r="W147" s="16">
        <v>0</v>
      </c>
      <c r="X147" s="16">
        <v>0</v>
      </c>
      <c r="Y147" s="16">
        <v>35</v>
      </c>
      <c r="Z147" s="16">
        <v>40</v>
      </c>
      <c r="AA147" s="16">
        <v>25</v>
      </c>
      <c r="AB147" s="16">
        <v>0</v>
      </c>
      <c r="AC147" s="16"/>
      <c r="AD147" s="24">
        <v>2002</v>
      </c>
      <c r="AE147" s="23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</row>
    <row r="148" spans="1:84" s="2" customFormat="1" x14ac:dyDescent="0.2">
      <c r="A148" s="17" t="s">
        <v>3921</v>
      </c>
      <c r="B148" s="17" t="s">
        <v>45</v>
      </c>
      <c r="C148" s="17">
        <v>2025</v>
      </c>
      <c r="D148" s="17" t="str">
        <f t="array" ref="D148">_xlfn.SWITCH(E148,"Jatikalen","35.18.20","Kertosono", "35.18.08","Lengkong","35.18.19","Loceret","35.18.04","Tanjunganom","35.18.11","Wilangan","35.18.15")</f>
        <v>35.18.04</v>
      </c>
      <c r="E148" s="16" t="s">
        <v>41</v>
      </c>
      <c r="F148" s="33" t="s">
        <v>360</v>
      </c>
      <c r="G148" s="17" t="s">
        <v>521</v>
      </c>
      <c r="H148" s="16" t="s">
        <v>31</v>
      </c>
      <c r="I148" s="16">
        <v>10</v>
      </c>
      <c r="J148" s="16">
        <v>2</v>
      </c>
      <c r="K148" s="16">
        <f t="shared" si="2"/>
        <v>12</v>
      </c>
      <c r="L148" s="36">
        <v>50000000</v>
      </c>
      <c r="M148" s="17" t="s">
        <v>48</v>
      </c>
      <c r="N148" s="18">
        <v>180</v>
      </c>
      <c r="O148" s="16" t="s">
        <v>49</v>
      </c>
      <c r="P148" s="18">
        <v>2400000</v>
      </c>
      <c r="Q148" s="17" t="s">
        <v>212</v>
      </c>
      <c r="R148" s="18">
        <v>40</v>
      </c>
      <c r="S148" s="16" t="s">
        <v>51</v>
      </c>
      <c r="T148" s="36">
        <v>900000</v>
      </c>
      <c r="U148" s="20" t="s">
        <v>22</v>
      </c>
      <c r="V148" s="16">
        <v>0</v>
      </c>
      <c r="W148" s="16">
        <v>0</v>
      </c>
      <c r="X148" s="16">
        <v>0</v>
      </c>
      <c r="Y148" s="16">
        <v>70</v>
      </c>
      <c r="Z148" s="16">
        <v>30</v>
      </c>
      <c r="AA148" s="16">
        <v>0</v>
      </c>
      <c r="AB148" s="16">
        <v>0</v>
      </c>
      <c r="AC148" s="16"/>
      <c r="AD148" s="24">
        <v>2002</v>
      </c>
      <c r="AE148" s="23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</row>
    <row r="149" spans="1:84" s="2" customFormat="1" x14ac:dyDescent="0.2">
      <c r="A149" s="17" t="s">
        <v>3921</v>
      </c>
      <c r="B149" s="17" t="s">
        <v>45</v>
      </c>
      <c r="C149" s="17">
        <v>2025</v>
      </c>
      <c r="D149" s="17" t="str">
        <f t="array" ref="D149">_xlfn.SWITCH(E149,"Bagor","35.18.14","Sukomoro",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9" s="16" t="s">
        <v>45</v>
      </c>
      <c r="F149" s="17" t="s">
        <v>522</v>
      </c>
      <c r="G149" s="17" t="s">
        <v>523</v>
      </c>
      <c r="H149" s="16" t="s">
        <v>31</v>
      </c>
      <c r="I149" s="16">
        <v>4</v>
      </c>
      <c r="J149" s="16">
        <v>23</v>
      </c>
      <c r="K149" s="16">
        <f t="shared" si="2"/>
        <v>27</v>
      </c>
      <c r="L149" s="36">
        <v>300000000</v>
      </c>
      <c r="M149" s="17" t="s">
        <v>524</v>
      </c>
      <c r="N149" s="18">
        <v>3563</v>
      </c>
      <c r="O149" s="16" t="s">
        <v>525</v>
      </c>
      <c r="P149" s="18">
        <v>71260000</v>
      </c>
      <c r="Q149" s="17" t="s">
        <v>526</v>
      </c>
      <c r="R149" s="18">
        <v>3565</v>
      </c>
      <c r="S149" s="16" t="s">
        <v>525</v>
      </c>
      <c r="T149" s="36">
        <v>37040000</v>
      </c>
      <c r="U149" s="20" t="s">
        <v>22</v>
      </c>
      <c r="V149" s="16">
        <v>0</v>
      </c>
      <c r="W149" s="16">
        <v>0</v>
      </c>
      <c r="X149" s="16">
        <v>0</v>
      </c>
      <c r="Y149" s="16">
        <v>80</v>
      </c>
      <c r="Z149" s="16">
        <v>20</v>
      </c>
      <c r="AA149" s="16">
        <v>0</v>
      </c>
      <c r="AB149" s="16">
        <v>0</v>
      </c>
      <c r="AC149" s="16"/>
      <c r="AD149" s="24">
        <v>2002</v>
      </c>
      <c r="AE149" s="23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</row>
    <row r="150" spans="1:84" s="2" customFormat="1" x14ac:dyDescent="0.2">
      <c r="A150" s="17" t="s">
        <v>3921</v>
      </c>
      <c r="B150" s="17" t="s">
        <v>45</v>
      </c>
      <c r="C150" s="17">
        <v>2025</v>
      </c>
      <c r="D150" s="17" t="str">
        <f t="array" ref="D150">_xlfn.SWITCH(E150,"Bagor","35.18.14","Sukomoro",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0" s="16" t="s">
        <v>45</v>
      </c>
      <c r="F150" s="17" t="s">
        <v>527</v>
      </c>
      <c r="G150" s="17" t="s">
        <v>528</v>
      </c>
      <c r="H150" s="16" t="s">
        <v>31</v>
      </c>
      <c r="I150" s="16">
        <v>3</v>
      </c>
      <c r="J150" s="16">
        <v>16</v>
      </c>
      <c r="K150" s="16">
        <f t="shared" si="2"/>
        <v>19</v>
      </c>
      <c r="L150" s="36">
        <v>150000000</v>
      </c>
      <c r="M150" s="17" t="s">
        <v>524</v>
      </c>
      <c r="N150" s="18">
        <v>1069</v>
      </c>
      <c r="O150" s="16" t="s">
        <v>525</v>
      </c>
      <c r="P150" s="18">
        <v>21380000</v>
      </c>
      <c r="Q150" s="17" t="s">
        <v>526</v>
      </c>
      <c r="R150" s="18">
        <v>1070</v>
      </c>
      <c r="S150" s="16" t="s">
        <v>525</v>
      </c>
      <c r="T150" s="36">
        <v>11120000</v>
      </c>
      <c r="U150" s="20" t="s">
        <v>22</v>
      </c>
      <c r="V150" s="16">
        <v>0</v>
      </c>
      <c r="W150" s="16">
        <v>0</v>
      </c>
      <c r="X150" s="16">
        <v>0</v>
      </c>
      <c r="Y150" s="16">
        <v>80</v>
      </c>
      <c r="Z150" s="16">
        <v>20</v>
      </c>
      <c r="AA150" s="16">
        <v>0</v>
      </c>
      <c r="AB150" s="16">
        <v>0</v>
      </c>
      <c r="AC150" s="16"/>
      <c r="AD150" s="24">
        <v>2002</v>
      </c>
      <c r="AE150" s="23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</row>
    <row r="151" spans="1:84" s="2" customFormat="1" x14ac:dyDescent="0.2">
      <c r="A151" s="17" t="s">
        <v>3921</v>
      </c>
      <c r="B151" s="17" t="s">
        <v>45</v>
      </c>
      <c r="C151" s="17">
        <v>2025</v>
      </c>
      <c r="D151" s="17" t="str">
        <f t="array" ref="D151">_xlfn.SWITCH(E151,"Bagor","35.18.14","Sukomoro",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1" s="16" t="s">
        <v>45</v>
      </c>
      <c r="F151" s="17" t="s">
        <v>529</v>
      </c>
      <c r="G151" s="17" t="s">
        <v>530</v>
      </c>
      <c r="H151" s="16" t="s">
        <v>31</v>
      </c>
      <c r="I151" s="16">
        <v>4</v>
      </c>
      <c r="J151" s="16">
        <v>15</v>
      </c>
      <c r="K151" s="16">
        <f t="shared" si="2"/>
        <v>19</v>
      </c>
      <c r="L151" s="36">
        <v>200000000</v>
      </c>
      <c r="M151" s="17" t="s">
        <v>524</v>
      </c>
      <c r="N151" s="18">
        <v>1425</v>
      </c>
      <c r="O151" s="16" t="s">
        <v>525</v>
      </c>
      <c r="P151" s="18">
        <v>28500000</v>
      </c>
      <c r="Q151" s="17" t="s">
        <v>526</v>
      </c>
      <c r="R151" s="18">
        <v>1426</v>
      </c>
      <c r="S151" s="16" t="s">
        <v>525</v>
      </c>
      <c r="T151" s="36">
        <v>12816000</v>
      </c>
      <c r="U151" s="20" t="s">
        <v>22</v>
      </c>
      <c r="V151" s="16">
        <v>0</v>
      </c>
      <c r="W151" s="16">
        <v>0</v>
      </c>
      <c r="X151" s="16">
        <v>0</v>
      </c>
      <c r="Y151" s="16">
        <v>85</v>
      </c>
      <c r="Z151" s="16">
        <v>15</v>
      </c>
      <c r="AA151" s="16">
        <v>0</v>
      </c>
      <c r="AB151" s="16">
        <v>0</v>
      </c>
      <c r="AC151" s="16"/>
      <c r="AD151" s="24">
        <v>2002</v>
      </c>
      <c r="AE151" s="23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</row>
    <row r="152" spans="1:84" s="2" customFormat="1" x14ac:dyDescent="0.2">
      <c r="A152" s="17" t="s">
        <v>3921</v>
      </c>
      <c r="B152" s="17" t="s">
        <v>45</v>
      </c>
      <c r="C152" s="17">
        <v>2025</v>
      </c>
      <c r="D152" s="17" t="str">
        <f t="array" ref="D152">_xlfn.SWITCH(E152,"Bagor","35.18.14","Sukomoro",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2" s="16" t="s">
        <v>45</v>
      </c>
      <c r="F152" s="17" t="s">
        <v>531</v>
      </c>
      <c r="G152" s="17" t="s">
        <v>532</v>
      </c>
      <c r="H152" s="16" t="s">
        <v>31</v>
      </c>
      <c r="I152" s="16">
        <v>3</v>
      </c>
      <c r="J152" s="16">
        <v>10</v>
      </c>
      <c r="K152" s="16">
        <f t="shared" si="2"/>
        <v>13</v>
      </c>
      <c r="L152" s="36">
        <v>150000000</v>
      </c>
      <c r="M152" s="17" t="s">
        <v>524</v>
      </c>
      <c r="N152" s="18">
        <v>1069</v>
      </c>
      <c r="O152" s="16" t="s">
        <v>525</v>
      </c>
      <c r="P152" s="18">
        <v>21380000</v>
      </c>
      <c r="Q152" s="17" t="s">
        <v>526</v>
      </c>
      <c r="R152" s="18">
        <v>1070</v>
      </c>
      <c r="S152" s="16" t="s">
        <v>525</v>
      </c>
      <c r="T152" s="36">
        <v>10120000</v>
      </c>
      <c r="U152" s="20" t="s">
        <v>22</v>
      </c>
      <c r="V152" s="16">
        <v>0</v>
      </c>
      <c r="W152" s="16">
        <v>0</v>
      </c>
      <c r="X152" s="16">
        <v>0</v>
      </c>
      <c r="Y152" s="16">
        <v>75</v>
      </c>
      <c r="Z152" s="16">
        <v>25</v>
      </c>
      <c r="AA152" s="16">
        <v>0</v>
      </c>
      <c r="AB152" s="16">
        <v>0</v>
      </c>
      <c r="AC152" s="16"/>
      <c r="AD152" s="24">
        <v>2002</v>
      </c>
      <c r="AE152" s="23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</row>
    <row r="153" spans="1:84" s="2" customFormat="1" x14ac:dyDescent="0.2">
      <c r="A153" s="17" t="s">
        <v>3921</v>
      </c>
      <c r="B153" s="17" t="s">
        <v>45</v>
      </c>
      <c r="C153" s="17">
        <v>2025</v>
      </c>
      <c r="D153" s="17" t="str">
        <f t="array" ref="D153">_xlfn.SWITCH(E153,"Bagor","35.18.14","Sukomoro",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3" s="16" t="s">
        <v>45</v>
      </c>
      <c r="F153" s="33" t="s">
        <v>533</v>
      </c>
      <c r="G153" s="17" t="s">
        <v>534</v>
      </c>
      <c r="H153" s="16" t="s">
        <v>47</v>
      </c>
      <c r="I153" s="16">
        <v>1</v>
      </c>
      <c r="J153" s="16">
        <v>4</v>
      </c>
      <c r="K153" s="16">
        <f t="shared" si="2"/>
        <v>5</v>
      </c>
      <c r="L153" s="36">
        <v>12500000</v>
      </c>
      <c r="M153" s="17" t="s">
        <v>172</v>
      </c>
      <c r="N153" s="18">
        <v>72</v>
      </c>
      <c r="O153" s="16" t="s">
        <v>83</v>
      </c>
      <c r="P153" s="18">
        <v>112800000</v>
      </c>
      <c r="Q153" s="17" t="s">
        <v>173</v>
      </c>
      <c r="R153" s="29">
        <v>29</v>
      </c>
      <c r="S153" s="16" t="s">
        <v>83</v>
      </c>
      <c r="T153" s="36">
        <v>62500000</v>
      </c>
      <c r="U153" s="20" t="s">
        <v>22</v>
      </c>
      <c r="V153" s="16" t="s">
        <v>50</v>
      </c>
      <c r="W153" s="16">
        <v>250</v>
      </c>
      <c r="X153" s="16" t="s">
        <v>51</v>
      </c>
      <c r="Y153" s="16">
        <v>100</v>
      </c>
      <c r="Z153" s="16">
        <v>0</v>
      </c>
      <c r="AA153" s="16">
        <v>0</v>
      </c>
      <c r="AB153" s="16">
        <v>0</v>
      </c>
      <c r="AC153" s="16"/>
      <c r="AD153" s="24">
        <v>2002</v>
      </c>
      <c r="AE153" s="23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</row>
    <row r="154" spans="1:84" s="2" customFormat="1" x14ac:dyDescent="0.2">
      <c r="A154" s="17" t="s">
        <v>3921</v>
      </c>
      <c r="B154" s="17" t="s">
        <v>45</v>
      </c>
      <c r="C154" s="17">
        <v>2025</v>
      </c>
      <c r="D154" s="17" t="str">
        <f t="array" ref="D154">_xlfn.SWITCH(E154,"Bagor","35.18.14","Sukomoro",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4" s="16" t="s">
        <v>45</v>
      </c>
      <c r="F154" s="33" t="s">
        <v>493</v>
      </c>
      <c r="G154" s="17" t="s">
        <v>535</v>
      </c>
      <c r="H154" s="16" t="s">
        <v>47</v>
      </c>
      <c r="I154" s="16">
        <v>1</v>
      </c>
      <c r="J154" s="16">
        <v>3</v>
      </c>
      <c r="K154" s="16">
        <f t="shared" si="2"/>
        <v>4</v>
      </c>
      <c r="L154" s="36">
        <v>10000000</v>
      </c>
      <c r="M154" s="17" t="s">
        <v>172</v>
      </c>
      <c r="N154" s="18">
        <v>58</v>
      </c>
      <c r="O154" s="16" t="s">
        <v>83</v>
      </c>
      <c r="P154" s="18">
        <v>106700000</v>
      </c>
      <c r="Q154" s="17" t="s">
        <v>173</v>
      </c>
      <c r="R154" s="29">
        <v>23.5</v>
      </c>
      <c r="S154" s="16" t="s">
        <v>83</v>
      </c>
      <c r="T154" s="36">
        <v>50000000</v>
      </c>
      <c r="U154" s="20" t="s">
        <v>22</v>
      </c>
      <c r="V154" s="16" t="s">
        <v>50</v>
      </c>
      <c r="W154" s="16">
        <v>200</v>
      </c>
      <c r="X154" s="16" t="s">
        <v>51</v>
      </c>
      <c r="Y154" s="16">
        <v>100</v>
      </c>
      <c r="Z154" s="16">
        <v>0</v>
      </c>
      <c r="AA154" s="16">
        <v>0</v>
      </c>
      <c r="AB154" s="16">
        <v>0</v>
      </c>
      <c r="AC154" s="16"/>
      <c r="AD154" s="24">
        <v>2002</v>
      </c>
      <c r="AE154" s="23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</row>
    <row r="155" spans="1:84" s="2" customFormat="1" x14ac:dyDescent="0.2">
      <c r="A155" s="17" t="s">
        <v>3921</v>
      </c>
      <c r="B155" s="17" t="s">
        <v>45</v>
      </c>
      <c r="C155" s="17">
        <v>2025</v>
      </c>
      <c r="D155" s="17" t="str">
        <f t="array" ref="D155">_xlfn.SWITCH(E155,"Bagor","35.18.14","Sukomoro",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" s="16" t="s">
        <v>45</v>
      </c>
      <c r="F155" s="33" t="s">
        <v>493</v>
      </c>
      <c r="G155" s="17" t="s">
        <v>536</v>
      </c>
      <c r="H155" s="16" t="s">
        <v>47</v>
      </c>
      <c r="I155" s="16">
        <v>1</v>
      </c>
      <c r="J155" s="16">
        <v>4</v>
      </c>
      <c r="K155" s="16">
        <f t="shared" si="2"/>
        <v>5</v>
      </c>
      <c r="L155" s="36">
        <v>10000000</v>
      </c>
      <c r="M155" s="17" t="s">
        <v>172</v>
      </c>
      <c r="N155" s="18">
        <v>58</v>
      </c>
      <c r="O155" s="16" t="s">
        <v>83</v>
      </c>
      <c r="P155" s="18">
        <v>105750000</v>
      </c>
      <c r="Q155" s="17" t="s">
        <v>173</v>
      </c>
      <c r="R155" s="29">
        <v>23.5</v>
      </c>
      <c r="S155" s="16" t="s">
        <v>83</v>
      </c>
      <c r="T155" s="36">
        <v>50000000</v>
      </c>
      <c r="U155" s="20" t="s">
        <v>22</v>
      </c>
      <c r="V155" s="16" t="s">
        <v>50</v>
      </c>
      <c r="W155" s="16">
        <v>200</v>
      </c>
      <c r="X155" s="16" t="s">
        <v>51</v>
      </c>
      <c r="Y155" s="16">
        <v>100</v>
      </c>
      <c r="Z155" s="16">
        <v>0</v>
      </c>
      <c r="AA155" s="16">
        <v>0</v>
      </c>
      <c r="AB155" s="16">
        <v>0</v>
      </c>
      <c r="AC155" s="16"/>
      <c r="AD155" s="24">
        <v>2002</v>
      </c>
      <c r="AE155" s="23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</row>
    <row r="156" spans="1:84" s="2" customFormat="1" x14ac:dyDescent="0.2">
      <c r="A156" s="17" t="s">
        <v>3921</v>
      </c>
      <c r="B156" s="17" t="s">
        <v>45</v>
      </c>
      <c r="C156" s="17">
        <v>2025</v>
      </c>
      <c r="D156" s="17" t="str">
        <f t="array" ref="D156">_xlfn.SWITCH(E156,"Bagor","35.18.14","Sukomoro",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6" s="16" t="s">
        <v>45</v>
      </c>
      <c r="F156" s="17" t="s">
        <v>537</v>
      </c>
      <c r="G156" s="17" t="s">
        <v>538</v>
      </c>
      <c r="H156" s="16" t="s">
        <v>47</v>
      </c>
      <c r="I156" s="16">
        <v>20</v>
      </c>
      <c r="J156" s="16">
        <v>4</v>
      </c>
      <c r="K156" s="16">
        <f t="shared" si="2"/>
        <v>24</v>
      </c>
      <c r="L156" s="36">
        <v>75000000</v>
      </c>
      <c r="M156" s="17" t="s">
        <v>180</v>
      </c>
      <c r="N156" s="18">
        <v>24</v>
      </c>
      <c r="O156" s="16" t="s">
        <v>83</v>
      </c>
      <c r="P156" s="18">
        <v>32000000</v>
      </c>
      <c r="Q156" s="17" t="s">
        <v>159</v>
      </c>
      <c r="R156" s="18">
        <v>25</v>
      </c>
      <c r="S156" s="16" t="s">
        <v>83</v>
      </c>
      <c r="T156" s="36">
        <v>18000000</v>
      </c>
      <c r="U156" s="20" t="s">
        <v>22</v>
      </c>
      <c r="V156" s="16" t="s">
        <v>50</v>
      </c>
      <c r="W156" s="16">
        <v>250</v>
      </c>
      <c r="X156" s="16" t="s">
        <v>51</v>
      </c>
      <c r="Y156" s="16">
        <v>65</v>
      </c>
      <c r="Z156" s="16">
        <v>35</v>
      </c>
      <c r="AA156" s="16">
        <v>0</v>
      </c>
      <c r="AB156" s="16">
        <v>0</v>
      </c>
      <c r="AC156" s="16"/>
      <c r="AD156" s="24">
        <v>2002</v>
      </c>
      <c r="AE156" s="23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</row>
    <row r="157" spans="1:84" s="2" customFormat="1" x14ac:dyDescent="0.2">
      <c r="A157" s="17" t="s">
        <v>3921</v>
      </c>
      <c r="B157" s="17" t="s">
        <v>45</v>
      </c>
      <c r="C157" s="17">
        <v>2025</v>
      </c>
      <c r="D157" s="17" t="str">
        <f t="array" ref="D157">_xlfn.SWITCH(E157,"Bagor","35.18.14","Sukomoro",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7" s="16" t="s">
        <v>45</v>
      </c>
      <c r="F157" s="17" t="s">
        <v>539</v>
      </c>
      <c r="G157" s="17" t="s">
        <v>540</v>
      </c>
      <c r="H157" s="16" t="s">
        <v>47</v>
      </c>
      <c r="I157" s="16">
        <v>15</v>
      </c>
      <c r="J157" s="16">
        <v>6</v>
      </c>
      <c r="K157" s="16">
        <f t="shared" si="2"/>
        <v>21</v>
      </c>
      <c r="L157" s="36">
        <v>50000000</v>
      </c>
      <c r="M157" s="17" t="s">
        <v>180</v>
      </c>
      <c r="N157" s="18" t="s">
        <v>541</v>
      </c>
      <c r="O157" s="16" t="s">
        <v>83</v>
      </c>
      <c r="P157" s="18">
        <v>27125000</v>
      </c>
      <c r="Q157" s="17" t="s">
        <v>159</v>
      </c>
      <c r="R157" s="18">
        <v>15</v>
      </c>
      <c r="S157" s="16" t="s">
        <v>83</v>
      </c>
      <c r="T157" s="36">
        <v>10800000</v>
      </c>
      <c r="U157" s="20" t="s">
        <v>22</v>
      </c>
      <c r="V157" s="16" t="s">
        <v>50</v>
      </c>
      <c r="W157" s="16">
        <v>150</v>
      </c>
      <c r="X157" s="16" t="s">
        <v>51</v>
      </c>
      <c r="Y157" s="16">
        <v>70</v>
      </c>
      <c r="Z157" s="16">
        <v>30</v>
      </c>
      <c r="AA157" s="16">
        <v>0</v>
      </c>
      <c r="AB157" s="16">
        <v>0</v>
      </c>
      <c r="AC157" s="16"/>
      <c r="AD157" s="24">
        <v>2002</v>
      </c>
      <c r="AE157" s="23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</row>
    <row r="158" spans="1:84" s="2" customFormat="1" x14ac:dyDescent="0.2">
      <c r="A158" s="17" t="s">
        <v>3921</v>
      </c>
      <c r="B158" s="17" t="s">
        <v>45</v>
      </c>
      <c r="C158" s="17">
        <v>2025</v>
      </c>
      <c r="D158" s="17" t="str">
        <f t="array" ref="D158">_xlfn.SWITCH(E158,"Bagor","35.18.14","Sukomoro",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8" s="16" t="s">
        <v>45</v>
      </c>
      <c r="F158" s="17" t="s">
        <v>542</v>
      </c>
      <c r="G158" s="17" t="s">
        <v>543</v>
      </c>
      <c r="H158" s="16" t="s">
        <v>47</v>
      </c>
      <c r="I158" s="16">
        <v>14</v>
      </c>
      <c r="J158" s="16">
        <v>5</v>
      </c>
      <c r="K158" s="16">
        <f t="shared" si="2"/>
        <v>19</v>
      </c>
      <c r="L158" s="36">
        <v>50000000</v>
      </c>
      <c r="M158" s="17" t="s">
        <v>180</v>
      </c>
      <c r="N158" s="18" t="s">
        <v>541</v>
      </c>
      <c r="O158" s="16" t="s">
        <v>83</v>
      </c>
      <c r="P158" s="18">
        <v>28125000</v>
      </c>
      <c r="Q158" s="17" t="s">
        <v>159</v>
      </c>
      <c r="R158" s="18">
        <v>15</v>
      </c>
      <c r="S158" s="16" t="s">
        <v>83</v>
      </c>
      <c r="T158" s="36">
        <v>10800000</v>
      </c>
      <c r="U158" s="20" t="s">
        <v>22</v>
      </c>
      <c r="V158" s="16" t="s">
        <v>50</v>
      </c>
      <c r="W158" s="16">
        <v>150</v>
      </c>
      <c r="X158" s="16" t="s">
        <v>51</v>
      </c>
      <c r="Y158" s="16">
        <v>75</v>
      </c>
      <c r="Z158" s="16">
        <v>25</v>
      </c>
      <c r="AA158" s="16">
        <v>0</v>
      </c>
      <c r="AB158" s="16">
        <v>0</v>
      </c>
      <c r="AC158" s="16"/>
      <c r="AD158" s="24">
        <v>2002</v>
      </c>
      <c r="AE158" s="23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</row>
    <row r="159" spans="1:84" s="2" customFormat="1" x14ac:dyDescent="0.2">
      <c r="A159" s="17" t="s">
        <v>3921</v>
      </c>
      <c r="B159" s="17" t="s">
        <v>45</v>
      </c>
      <c r="C159" s="17">
        <v>2025</v>
      </c>
      <c r="D159" s="17" t="str">
        <f t="array" ref="D159">_xlfn.SWITCH(E159,"Bagor","35.18.14","Sukomoro",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9" s="16" t="s">
        <v>45</v>
      </c>
      <c r="F159" s="17" t="s">
        <v>544</v>
      </c>
      <c r="G159" s="17" t="s">
        <v>545</v>
      </c>
      <c r="H159" s="16" t="s">
        <v>47</v>
      </c>
      <c r="I159" s="16">
        <v>2</v>
      </c>
      <c r="J159" s="16">
        <v>15</v>
      </c>
      <c r="K159" s="16">
        <f t="shared" si="2"/>
        <v>17</v>
      </c>
      <c r="L159" s="36">
        <v>125000000</v>
      </c>
      <c r="M159" s="17" t="s">
        <v>228</v>
      </c>
      <c r="N159" s="18">
        <v>13350</v>
      </c>
      <c r="O159" s="16" t="s">
        <v>51</v>
      </c>
      <c r="P159" s="18">
        <v>173500000</v>
      </c>
      <c r="Q159" s="17" t="s">
        <v>504</v>
      </c>
      <c r="R159" s="18" t="s">
        <v>546</v>
      </c>
      <c r="S159" s="16" t="s">
        <v>547</v>
      </c>
      <c r="T159" s="36">
        <v>38575000</v>
      </c>
      <c r="U159" s="20" t="s">
        <v>22</v>
      </c>
      <c r="V159" s="16" t="s">
        <v>52</v>
      </c>
      <c r="W159" s="16">
        <v>500</v>
      </c>
      <c r="X159" s="16" t="s">
        <v>53</v>
      </c>
      <c r="Y159" s="16">
        <v>60</v>
      </c>
      <c r="Z159" s="16">
        <v>40</v>
      </c>
      <c r="AA159" s="16">
        <v>0</v>
      </c>
      <c r="AB159" s="16">
        <v>0</v>
      </c>
      <c r="AC159" s="16"/>
      <c r="AD159" s="24">
        <v>2002</v>
      </c>
      <c r="AE159" s="23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</row>
    <row r="160" spans="1:84" s="2" customFormat="1" x14ac:dyDescent="0.2">
      <c r="A160" s="17" t="s">
        <v>3921</v>
      </c>
      <c r="B160" s="17" t="s">
        <v>45</v>
      </c>
      <c r="C160" s="17">
        <v>2025</v>
      </c>
      <c r="D160" s="17" t="str">
        <f t="array" ref="D160">_xlfn.SWITCH(E160,"Bagor","35.18.14","Sukomoro",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60" s="16" t="s">
        <v>45</v>
      </c>
      <c r="F160" s="33" t="s">
        <v>519</v>
      </c>
      <c r="G160" s="17" t="s">
        <v>548</v>
      </c>
      <c r="H160" s="16" t="s">
        <v>47</v>
      </c>
      <c r="I160" s="16">
        <v>0</v>
      </c>
      <c r="J160" s="16">
        <v>7</v>
      </c>
      <c r="K160" s="16">
        <f t="shared" si="2"/>
        <v>7</v>
      </c>
      <c r="L160" s="36">
        <v>138500000</v>
      </c>
      <c r="M160" s="17" t="s">
        <v>48</v>
      </c>
      <c r="N160" s="18" t="s">
        <v>549</v>
      </c>
      <c r="O160" s="16" t="s">
        <v>498</v>
      </c>
      <c r="P160" s="18">
        <v>32000000</v>
      </c>
      <c r="Q160" s="17" t="s">
        <v>57</v>
      </c>
      <c r="R160" s="18">
        <v>30</v>
      </c>
      <c r="S160" s="16" t="s">
        <v>51</v>
      </c>
      <c r="T160" s="36">
        <v>14350000</v>
      </c>
      <c r="U160" s="20" t="s">
        <v>22</v>
      </c>
      <c r="V160" s="16" t="s">
        <v>52</v>
      </c>
      <c r="W160" s="16">
        <v>300</v>
      </c>
      <c r="X160" s="16" t="s">
        <v>53</v>
      </c>
      <c r="Y160" s="16">
        <v>65</v>
      </c>
      <c r="Z160" s="16">
        <v>35</v>
      </c>
      <c r="AA160" s="16">
        <v>0</v>
      </c>
      <c r="AB160" s="16">
        <v>0</v>
      </c>
      <c r="AC160" s="16"/>
      <c r="AD160" s="24">
        <v>2002</v>
      </c>
      <c r="AE160" s="23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</row>
    <row r="161" spans="1:84" s="2" customFormat="1" x14ac:dyDescent="0.2">
      <c r="A161" s="17" t="s">
        <v>3921</v>
      </c>
      <c r="B161" s="17" t="s">
        <v>45</v>
      </c>
      <c r="C161" s="17">
        <v>2025</v>
      </c>
      <c r="D161" s="17" t="str">
        <f t="array" ref="D161">_xlfn.SWITCH(E161,"Bagor","35.18.14","Sukomoro",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61" s="16" t="s">
        <v>45</v>
      </c>
      <c r="F161" s="17" t="s">
        <v>550</v>
      </c>
      <c r="G161" s="17" t="s">
        <v>551</v>
      </c>
      <c r="H161" s="16" t="s">
        <v>47</v>
      </c>
      <c r="I161" s="16">
        <v>2</v>
      </c>
      <c r="J161" s="16">
        <v>3</v>
      </c>
      <c r="K161" s="16">
        <f t="shared" si="2"/>
        <v>5</v>
      </c>
      <c r="L161" s="36">
        <v>31000000</v>
      </c>
      <c r="M161" s="17" t="s">
        <v>94</v>
      </c>
      <c r="N161" s="18">
        <v>6448</v>
      </c>
      <c r="O161" s="16" t="s">
        <v>229</v>
      </c>
      <c r="P161" s="18">
        <v>15900000</v>
      </c>
      <c r="Q161" s="17" t="s">
        <v>96</v>
      </c>
      <c r="R161" s="18">
        <v>620</v>
      </c>
      <c r="S161" s="16" t="s">
        <v>194</v>
      </c>
      <c r="T161" s="36">
        <v>9300000</v>
      </c>
      <c r="U161" s="20" t="s">
        <v>22</v>
      </c>
      <c r="V161" s="16">
        <v>0</v>
      </c>
      <c r="W161" s="16">
        <v>0</v>
      </c>
      <c r="X161" s="16">
        <v>0</v>
      </c>
      <c r="Y161" s="16">
        <v>65</v>
      </c>
      <c r="Z161" s="16">
        <v>35</v>
      </c>
      <c r="AA161" s="16">
        <v>0</v>
      </c>
      <c r="AB161" s="16">
        <v>0</v>
      </c>
      <c r="AC161" s="16"/>
      <c r="AD161" s="24">
        <v>2002</v>
      </c>
      <c r="AE161" s="23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</row>
    <row r="162" spans="1:84" s="2" customFormat="1" x14ac:dyDescent="0.2">
      <c r="A162" s="17" t="s">
        <v>3921</v>
      </c>
      <c r="B162" s="17" t="s">
        <v>45</v>
      </c>
      <c r="C162" s="17">
        <v>2025</v>
      </c>
      <c r="D162" s="17" t="str">
        <f t="array" ref="D162">_xlfn.SWITCH(E162,"Bagor","35.18.14","Sukomoro",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62" s="16" t="s">
        <v>45</v>
      </c>
      <c r="F162" s="17" t="s">
        <v>552</v>
      </c>
      <c r="G162" s="17" t="s">
        <v>553</v>
      </c>
      <c r="H162" s="16" t="s">
        <v>47</v>
      </c>
      <c r="I162" s="16">
        <v>2</v>
      </c>
      <c r="J162" s="16">
        <v>5</v>
      </c>
      <c r="K162" s="16">
        <f t="shared" si="2"/>
        <v>7</v>
      </c>
      <c r="L162" s="36">
        <v>40000000</v>
      </c>
      <c r="M162" s="17" t="s">
        <v>554</v>
      </c>
      <c r="N162" s="18">
        <v>7900</v>
      </c>
      <c r="O162" s="16" t="s">
        <v>229</v>
      </c>
      <c r="P162" s="18">
        <v>19475000</v>
      </c>
      <c r="Q162" s="17" t="s">
        <v>96</v>
      </c>
      <c r="R162" s="18">
        <v>760</v>
      </c>
      <c r="S162" s="16" t="s">
        <v>194</v>
      </c>
      <c r="T162" s="36">
        <v>11400000</v>
      </c>
      <c r="U162" s="20" t="s">
        <v>22</v>
      </c>
      <c r="V162" s="16">
        <v>0</v>
      </c>
      <c r="W162" s="16">
        <v>0</v>
      </c>
      <c r="X162" s="16">
        <v>0</v>
      </c>
      <c r="Y162" s="16">
        <v>60</v>
      </c>
      <c r="Z162" s="16">
        <v>40</v>
      </c>
      <c r="AA162" s="16">
        <v>0</v>
      </c>
      <c r="AB162" s="16">
        <v>0</v>
      </c>
      <c r="AC162" s="16"/>
      <c r="AD162" s="24">
        <v>2002</v>
      </c>
      <c r="AE162" s="23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</row>
    <row r="163" spans="1:84" s="2" customFormat="1" x14ac:dyDescent="0.2">
      <c r="A163" s="17" t="s">
        <v>3921</v>
      </c>
      <c r="B163" s="17" t="s">
        <v>45</v>
      </c>
      <c r="C163" s="17">
        <v>2025</v>
      </c>
      <c r="D163" s="17" t="str">
        <f t="array" ref="D163">_xlfn.SWITCH(E163,"Bagor","35.18.14","Sukomoro",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63" s="16" t="s">
        <v>45</v>
      </c>
      <c r="F163" s="17" t="s">
        <v>555</v>
      </c>
      <c r="G163" s="17" t="s">
        <v>556</v>
      </c>
      <c r="H163" s="16" t="s">
        <v>47</v>
      </c>
      <c r="I163" s="16">
        <v>2</v>
      </c>
      <c r="J163" s="16">
        <v>4</v>
      </c>
      <c r="K163" s="16">
        <f t="shared" si="2"/>
        <v>6</v>
      </c>
      <c r="L163" s="36">
        <v>31000000</v>
      </c>
      <c r="M163" s="17" t="s">
        <v>554</v>
      </c>
      <c r="N163" s="18">
        <v>6500</v>
      </c>
      <c r="O163" s="16" t="s">
        <v>229</v>
      </c>
      <c r="P163" s="18">
        <v>16022000</v>
      </c>
      <c r="Q163" s="17" t="s">
        <v>96</v>
      </c>
      <c r="R163" s="18">
        <v>620</v>
      </c>
      <c r="S163" s="16" t="s">
        <v>194</v>
      </c>
      <c r="T163" s="36">
        <v>9375000</v>
      </c>
      <c r="U163" s="20" t="s">
        <v>22</v>
      </c>
      <c r="V163" s="16">
        <v>0</v>
      </c>
      <c r="W163" s="16">
        <v>0</v>
      </c>
      <c r="X163" s="16">
        <v>0</v>
      </c>
      <c r="Y163" s="16">
        <v>70</v>
      </c>
      <c r="Z163" s="16">
        <v>30</v>
      </c>
      <c r="AA163" s="16">
        <v>0</v>
      </c>
      <c r="AB163" s="16">
        <v>0</v>
      </c>
      <c r="AC163" s="16"/>
      <c r="AD163" s="24">
        <v>2002</v>
      </c>
      <c r="AE163" s="23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</row>
    <row r="164" spans="1:84" s="2" customFormat="1" x14ac:dyDescent="0.2">
      <c r="A164" s="17" t="s">
        <v>3921</v>
      </c>
      <c r="B164" s="17" t="s">
        <v>45</v>
      </c>
      <c r="C164" s="17">
        <v>2025</v>
      </c>
      <c r="D164" s="17" t="str">
        <f t="array" ref="D164">_xlfn.SWITCH(E164,"Bagor","35.18.14","Sukomoro",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4" s="16" t="s">
        <v>103</v>
      </c>
      <c r="F164" s="17" t="s">
        <v>557</v>
      </c>
      <c r="G164" s="17" t="s">
        <v>558</v>
      </c>
      <c r="H164" s="16" t="s">
        <v>47</v>
      </c>
      <c r="I164" s="16">
        <v>7</v>
      </c>
      <c r="J164" s="16">
        <v>0</v>
      </c>
      <c r="K164" s="16">
        <f t="shared" si="2"/>
        <v>7</v>
      </c>
      <c r="L164" s="36">
        <v>100000000</v>
      </c>
      <c r="M164" s="17" t="s">
        <v>48</v>
      </c>
      <c r="N164" s="35">
        <v>54</v>
      </c>
      <c r="O164" s="16" t="s">
        <v>51</v>
      </c>
      <c r="P164" s="18">
        <f>18500000*N164</f>
        <v>999000000</v>
      </c>
      <c r="Q164" s="17" t="s">
        <v>57</v>
      </c>
      <c r="R164" s="35">
        <v>60</v>
      </c>
      <c r="S164" s="16" t="s">
        <v>51</v>
      </c>
      <c r="T164" s="36">
        <f>7500000*R164</f>
        <v>450000000</v>
      </c>
      <c r="U164" s="20" t="s">
        <v>22</v>
      </c>
      <c r="V164" s="16" t="s">
        <v>52</v>
      </c>
      <c r="W164" s="16">
        <v>500</v>
      </c>
      <c r="X164" s="16" t="s">
        <v>53</v>
      </c>
      <c r="Y164" s="16">
        <v>60</v>
      </c>
      <c r="Z164" s="16">
        <v>40</v>
      </c>
      <c r="AA164" s="16">
        <v>0</v>
      </c>
      <c r="AB164" s="16">
        <v>0</v>
      </c>
      <c r="AC164" s="26" t="s">
        <v>559</v>
      </c>
      <c r="AD164" s="32" t="s">
        <v>560</v>
      </c>
      <c r="AE164" s="23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</row>
    <row r="165" spans="1:84" s="2" customFormat="1" x14ac:dyDescent="0.2">
      <c r="A165" s="17" t="s">
        <v>3921</v>
      </c>
      <c r="B165" s="17" t="s">
        <v>45</v>
      </c>
      <c r="C165" s="17">
        <v>2025</v>
      </c>
      <c r="D165" s="17" t="str">
        <f t="array" ref="D165">_xlfn.SWITCH(E165,"Bagor","35.18.14","Sukomoro",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5" s="16" t="s">
        <v>103</v>
      </c>
      <c r="F165" s="33" t="s">
        <v>561</v>
      </c>
      <c r="G165" s="17" t="s">
        <v>562</v>
      </c>
      <c r="H165" s="16" t="s">
        <v>47</v>
      </c>
      <c r="I165" s="16">
        <v>3</v>
      </c>
      <c r="J165" s="16">
        <v>21</v>
      </c>
      <c r="K165" s="16">
        <f t="shared" si="2"/>
        <v>24</v>
      </c>
      <c r="L165" s="36">
        <v>120000000</v>
      </c>
      <c r="M165" s="17" t="s">
        <v>48</v>
      </c>
      <c r="N165" s="35">
        <v>48</v>
      </c>
      <c r="O165" s="16" t="s">
        <v>211</v>
      </c>
      <c r="P165" s="18">
        <v>20447000</v>
      </c>
      <c r="Q165" s="17" t="s">
        <v>57</v>
      </c>
      <c r="R165" s="35">
        <v>21</v>
      </c>
      <c r="S165" s="16" t="s">
        <v>51</v>
      </c>
      <c r="T165" s="36">
        <v>10150000</v>
      </c>
      <c r="U165" s="20" t="s">
        <v>22</v>
      </c>
      <c r="V165" s="16" t="s">
        <v>52</v>
      </c>
      <c r="W165" s="16">
        <v>210</v>
      </c>
      <c r="X165" s="16" t="s">
        <v>53</v>
      </c>
      <c r="Y165" s="16">
        <v>60</v>
      </c>
      <c r="Z165" s="16">
        <v>40</v>
      </c>
      <c r="AA165" s="16">
        <v>0</v>
      </c>
      <c r="AB165" s="16">
        <v>0</v>
      </c>
      <c r="AC165" s="16"/>
      <c r="AD165" s="24">
        <v>2002</v>
      </c>
      <c r="AE165" s="23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</row>
    <row r="166" spans="1:84" s="2" customFormat="1" x14ac:dyDescent="0.2">
      <c r="A166" s="17" t="s">
        <v>3921</v>
      </c>
      <c r="B166" s="17" t="s">
        <v>45</v>
      </c>
      <c r="C166" s="17">
        <v>2025</v>
      </c>
      <c r="D166" s="17" t="str">
        <f t="array" ref="D166">_xlfn.SWITCH(E166,"Bagor","35.18.14","Sukomoro",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6" s="16" t="s">
        <v>103</v>
      </c>
      <c r="F166" s="17" t="s">
        <v>563</v>
      </c>
      <c r="G166" s="17" t="s">
        <v>564</v>
      </c>
      <c r="H166" s="16" t="s">
        <v>47</v>
      </c>
      <c r="I166" s="16">
        <v>34</v>
      </c>
      <c r="J166" s="16">
        <v>10</v>
      </c>
      <c r="K166" s="16">
        <f t="shared" si="2"/>
        <v>44</v>
      </c>
      <c r="L166" s="36">
        <v>20000000</v>
      </c>
      <c r="M166" s="17" t="s">
        <v>565</v>
      </c>
      <c r="N166" s="35">
        <v>21</v>
      </c>
      <c r="O166" s="16" t="s">
        <v>83</v>
      </c>
      <c r="P166" s="18">
        <v>67500000</v>
      </c>
      <c r="Q166" s="17" t="s">
        <v>34</v>
      </c>
      <c r="R166" s="35">
        <v>70</v>
      </c>
      <c r="S166" s="16" t="s">
        <v>83</v>
      </c>
      <c r="T166" s="36">
        <v>29200000</v>
      </c>
      <c r="U166" s="20" t="s">
        <v>22</v>
      </c>
      <c r="V166" s="16">
        <v>0</v>
      </c>
      <c r="W166" s="16">
        <v>0</v>
      </c>
      <c r="X166" s="16">
        <v>0</v>
      </c>
      <c r="Y166" s="16">
        <v>35</v>
      </c>
      <c r="Z166" s="16">
        <v>40</v>
      </c>
      <c r="AA166" s="16">
        <v>25</v>
      </c>
      <c r="AB166" s="16">
        <v>0</v>
      </c>
      <c r="AC166" s="16"/>
      <c r="AD166" s="24">
        <v>2002</v>
      </c>
      <c r="AE166" s="23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</row>
    <row r="167" spans="1:84" s="2" customFormat="1" x14ac:dyDescent="0.2">
      <c r="A167" s="17" t="s">
        <v>3921</v>
      </c>
      <c r="B167" s="17" t="s">
        <v>45</v>
      </c>
      <c r="C167" s="17">
        <v>2025</v>
      </c>
      <c r="D167" s="17" t="str">
        <f t="array" ref="D167">_xlfn.SWITCH(E167,"Bagor","35.18.14","Sukomoro",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7" s="16" t="s">
        <v>103</v>
      </c>
      <c r="F167" s="17" t="s">
        <v>566</v>
      </c>
      <c r="G167" s="17" t="s">
        <v>567</v>
      </c>
      <c r="H167" s="16" t="s">
        <v>47</v>
      </c>
      <c r="I167" s="16">
        <v>6</v>
      </c>
      <c r="J167" s="16">
        <v>0</v>
      </c>
      <c r="K167" s="16">
        <f t="shared" si="2"/>
        <v>6</v>
      </c>
      <c r="L167" s="36">
        <v>65000000</v>
      </c>
      <c r="M167" s="17" t="s">
        <v>108</v>
      </c>
      <c r="N167" s="35">
        <v>92</v>
      </c>
      <c r="O167" s="16" t="s">
        <v>211</v>
      </c>
      <c r="P167" s="18">
        <v>27650000</v>
      </c>
      <c r="Q167" s="17" t="s">
        <v>57</v>
      </c>
      <c r="R167" s="35">
        <v>32</v>
      </c>
      <c r="S167" s="16" t="s">
        <v>51</v>
      </c>
      <c r="T167" s="36">
        <v>15585000</v>
      </c>
      <c r="U167" s="20" t="s">
        <v>22</v>
      </c>
      <c r="V167" s="16" t="s">
        <v>52</v>
      </c>
      <c r="W167" s="16">
        <v>320</v>
      </c>
      <c r="X167" s="16" t="s">
        <v>53</v>
      </c>
      <c r="Y167" s="16">
        <v>70</v>
      </c>
      <c r="Z167" s="16">
        <v>30</v>
      </c>
      <c r="AA167" s="16">
        <v>0</v>
      </c>
      <c r="AB167" s="16">
        <v>0</v>
      </c>
      <c r="AC167" s="16" t="s">
        <v>568</v>
      </c>
      <c r="AD167" s="31" t="s">
        <v>569</v>
      </c>
      <c r="AE167" s="23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</row>
    <row r="168" spans="1:84" s="2" customFormat="1" x14ac:dyDescent="0.2">
      <c r="A168" s="17" t="s">
        <v>3921</v>
      </c>
      <c r="B168" s="17" t="s">
        <v>45</v>
      </c>
      <c r="C168" s="17">
        <v>2025</v>
      </c>
      <c r="D168" s="17" t="str">
        <f t="array" ref="D168">_xlfn.SWITCH(E168,"Bagor","35.18.14","Sukomoro",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8" s="16" t="s">
        <v>103</v>
      </c>
      <c r="F168" s="17" t="s">
        <v>557</v>
      </c>
      <c r="G168" s="17" t="s">
        <v>570</v>
      </c>
      <c r="H168" s="16" t="s">
        <v>47</v>
      </c>
      <c r="I168" s="16">
        <v>1</v>
      </c>
      <c r="J168" s="16">
        <v>9</v>
      </c>
      <c r="K168" s="16">
        <f t="shared" si="2"/>
        <v>10</v>
      </c>
      <c r="L168" s="36">
        <v>105000000</v>
      </c>
      <c r="M168" s="17" t="s">
        <v>48</v>
      </c>
      <c r="N168" s="35">
        <v>46</v>
      </c>
      <c r="O168" s="16" t="s">
        <v>211</v>
      </c>
      <c r="P168" s="18">
        <v>12890000</v>
      </c>
      <c r="Q168" s="17" t="s">
        <v>57</v>
      </c>
      <c r="R168" s="35">
        <v>16</v>
      </c>
      <c r="S168" s="16" t="s">
        <v>51</v>
      </c>
      <c r="T168" s="36">
        <v>7556000</v>
      </c>
      <c r="U168" s="20" t="s">
        <v>22</v>
      </c>
      <c r="V168" s="16" t="s">
        <v>52</v>
      </c>
      <c r="W168" s="16">
        <v>160</v>
      </c>
      <c r="X168" s="16" t="s">
        <v>53</v>
      </c>
      <c r="Y168" s="16">
        <v>60</v>
      </c>
      <c r="Z168" s="16">
        <v>40</v>
      </c>
      <c r="AA168" s="16">
        <v>0</v>
      </c>
      <c r="AB168" s="16">
        <v>0</v>
      </c>
      <c r="AC168" s="16"/>
      <c r="AD168" s="24">
        <v>2002</v>
      </c>
      <c r="AE168" s="23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</row>
    <row r="169" spans="1:84" s="2" customFormat="1" x14ac:dyDescent="0.2">
      <c r="A169" s="17" t="s">
        <v>3921</v>
      </c>
      <c r="B169" s="17" t="s">
        <v>45</v>
      </c>
      <c r="C169" s="17">
        <v>2025</v>
      </c>
      <c r="D169" s="17" t="str">
        <f t="array" ref="D169">_xlfn.SWITCH(E169,"Bagor","35.18.14","Sukomoro",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9" s="16" t="s">
        <v>103</v>
      </c>
      <c r="F169" s="17" t="s">
        <v>203</v>
      </c>
      <c r="G169" s="17" t="s">
        <v>571</v>
      </c>
      <c r="H169" s="16" t="s">
        <v>47</v>
      </c>
      <c r="I169" s="16">
        <v>2</v>
      </c>
      <c r="J169" s="16">
        <v>8</v>
      </c>
      <c r="K169" s="16">
        <f t="shared" si="2"/>
        <v>10</v>
      </c>
      <c r="L169" s="36">
        <v>151900000</v>
      </c>
      <c r="M169" s="17" t="s">
        <v>48</v>
      </c>
      <c r="N169" s="35">
        <v>58</v>
      </c>
      <c r="O169" s="16" t="s">
        <v>211</v>
      </c>
      <c r="P169" s="18">
        <v>26850000</v>
      </c>
      <c r="Q169" s="17" t="s">
        <v>57</v>
      </c>
      <c r="R169" s="35">
        <v>22</v>
      </c>
      <c r="S169" s="16" t="s">
        <v>51</v>
      </c>
      <c r="T169" s="36">
        <v>10345000</v>
      </c>
      <c r="U169" s="20" t="s">
        <v>22</v>
      </c>
      <c r="V169" s="16" t="s">
        <v>52</v>
      </c>
      <c r="W169" s="16">
        <v>220</v>
      </c>
      <c r="X169" s="16" t="s">
        <v>53</v>
      </c>
      <c r="Y169" s="16">
        <v>65</v>
      </c>
      <c r="Z169" s="16">
        <v>35</v>
      </c>
      <c r="AA169" s="16">
        <v>0</v>
      </c>
      <c r="AB169" s="16">
        <v>0</v>
      </c>
      <c r="AC169" s="16"/>
      <c r="AD169" s="24">
        <v>2002</v>
      </c>
      <c r="AE169" s="23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</row>
    <row r="170" spans="1:84" s="2" customFormat="1" x14ac:dyDescent="0.2">
      <c r="A170" s="17" t="s">
        <v>3921</v>
      </c>
      <c r="B170" s="17" t="s">
        <v>45</v>
      </c>
      <c r="C170" s="17">
        <v>2025</v>
      </c>
      <c r="D170" s="17" t="str">
        <f t="array" ref="D170">_xlfn.SWITCH(E170,"Bagor","35.18.14","Sukomoro",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0" s="16" t="s">
        <v>103</v>
      </c>
      <c r="F170" s="17" t="s">
        <v>572</v>
      </c>
      <c r="G170" s="17" t="s">
        <v>573</v>
      </c>
      <c r="H170" s="16" t="s">
        <v>47</v>
      </c>
      <c r="I170" s="16">
        <v>2</v>
      </c>
      <c r="J170" s="16">
        <v>14</v>
      </c>
      <c r="K170" s="16">
        <f t="shared" si="2"/>
        <v>16</v>
      </c>
      <c r="L170" s="36">
        <v>42500000</v>
      </c>
      <c r="M170" s="17" t="s">
        <v>574</v>
      </c>
      <c r="N170" s="35">
        <v>41</v>
      </c>
      <c r="O170" s="16" t="s">
        <v>49</v>
      </c>
      <c r="P170" s="18">
        <v>123000000</v>
      </c>
      <c r="Q170" s="17" t="s">
        <v>57</v>
      </c>
      <c r="R170" s="35">
        <v>63</v>
      </c>
      <c r="S170" s="16" t="s">
        <v>51</v>
      </c>
      <c r="T170" s="36">
        <v>23215000</v>
      </c>
      <c r="U170" s="20" t="s">
        <v>22</v>
      </c>
      <c r="V170" s="16" t="s">
        <v>52</v>
      </c>
      <c r="W170" s="16">
        <v>630</v>
      </c>
      <c r="X170" s="16" t="s">
        <v>53</v>
      </c>
      <c r="Y170" s="16">
        <v>60</v>
      </c>
      <c r="Z170" s="16">
        <v>40</v>
      </c>
      <c r="AA170" s="16">
        <v>0</v>
      </c>
      <c r="AB170" s="16">
        <v>0</v>
      </c>
      <c r="AC170" s="16"/>
      <c r="AD170" s="24">
        <v>2002</v>
      </c>
      <c r="AE170" s="23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</row>
    <row r="171" spans="1:84" s="2" customFormat="1" x14ac:dyDescent="0.2">
      <c r="A171" s="17" t="s">
        <v>3921</v>
      </c>
      <c r="B171" s="17" t="s">
        <v>45</v>
      </c>
      <c r="C171" s="17">
        <v>2025</v>
      </c>
      <c r="D171" s="17" t="str">
        <f t="array" ref="D171">_xlfn.SWITCH(E171,"Bagor","35.18.14","Sukomoro",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1" s="16" t="s">
        <v>103</v>
      </c>
      <c r="F171" s="17" t="s">
        <v>102</v>
      </c>
      <c r="G171" s="17" t="s">
        <v>575</v>
      </c>
      <c r="H171" s="16" t="s">
        <v>47</v>
      </c>
      <c r="I171" s="16">
        <v>8</v>
      </c>
      <c r="J171" s="16">
        <v>2</v>
      </c>
      <c r="K171" s="16">
        <f t="shared" si="2"/>
        <v>10</v>
      </c>
      <c r="L171" s="36">
        <v>38000000</v>
      </c>
      <c r="M171" s="17" t="s">
        <v>467</v>
      </c>
      <c r="N171" s="18">
        <v>20000</v>
      </c>
      <c r="O171" s="16" t="s">
        <v>468</v>
      </c>
      <c r="P171" s="18">
        <v>31000000</v>
      </c>
      <c r="Q171" s="17" t="s">
        <v>481</v>
      </c>
      <c r="R171" s="35" t="s">
        <v>576</v>
      </c>
      <c r="S171" s="16" t="s">
        <v>577</v>
      </c>
      <c r="T171" s="36">
        <v>17850000</v>
      </c>
      <c r="U171" s="20" t="s">
        <v>22</v>
      </c>
      <c r="V171" s="16">
        <v>0</v>
      </c>
      <c r="W171" s="16">
        <v>0</v>
      </c>
      <c r="X171" s="16">
        <v>0</v>
      </c>
      <c r="Y171" s="16">
        <v>55</v>
      </c>
      <c r="Z171" s="16">
        <v>45</v>
      </c>
      <c r="AA171" s="16">
        <v>0</v>
      </c>
      <c r="AB171" s="16">
        <v>0</v>
      </c>
      <c r="AC171" s="16"/>
      <c r="AD171" s="24">
        <v>2002</v>
      </c>
      <c r="AE171" s="23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</row>
    <row r="172" spans="1:84" s="2" customFormat="1" x14ac:dyDescent="0.2">
      <c r="A172" s="17" t="s">
        <v>3921</v>
      </c>
      <c r="B172" s="17" t="s">
        <v>45</v>
      </c>
      <c r="C172" s="17">
        <v>2025</v>
      </c>
      <c r="D172" s="17" t="str">
        <f t="array" ref="D172">_xlfn.SWITCH(E172,"Bagor","35.18.14","Sukomoro",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2" s="16" t="s">
        <v>103</v>
      </c>
      <c r="F172" s="17" t="s">
        <v>578</v>
      </c>
      <c r="G172" s="17" t="s">
        <v>579</v>
      </c>
      <c r="H172" s="16" t="s">
        <v>47</v>
      </c>
      <c r="I172" s="16">
        <v>5</v>
      </c>
      <c r="J172" s="16">
        <v>19</v>
      </c>
      <c r="K172" s="16">
        <f t="shared" si="2"/>
        <v>24</v>
      </c>
      <c r="L172" s="36">
        <v>25500000</v>
      </c>
      <c r="M172" s="17" t="s">
        <v>180</v>
      </c>
      <c r="N172" s="35">
        <v>15</v>
      </c>
      <c r="O172" s="16" t="s">
        <v>83</v>
      </c>
      <c r="P172" s="18">
        <v>48750000</v>
      </c>
      <c r="Q172" s="17" t="s">
        <v>159</v>
      </c>
      <c r="R172" s="35" t="s">
        <v>580</v>
      </c>
      <c r="S172" s="16" t="s">
        <v>83</v>
      </c>
      <c r="T172" s="36">
        <v>26350000</v>
      </c>
      <c r="U172" s="20" t="s">
        <v>22</v>
      </c>
      <c r="V172" s="16" t="s">
        <v>50</v>
      </c>
      <c r="W172" s="16">
        <v>155</v>
      </c>
      <c r="X172" s="16" t="s">
        <v>51</v>
      </c>
      <c r="Y172" s="16">
        <v>60</v>
      </c>
      <c r="Z172" s="16">
        <v>40</v>
      </c>
      <c r="AA172" s="16">
        <v>0</v>
      </c>
      <c r="AB172" s="16">
        <v>0</v>
      </c>
      <c r="AC172" s="16"/>
      <c r="AD172" s="24">
        <v>2002</v>
      </c>
      <c r="AE172" s="23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</row>
    <row r="173" spans="1:84" s="2" customFormat="1" x14ac:dyDescent="0.2">
      <c r="A173" s="17" t="s">
        <v>3921</v>
      </c>
      <c r="B173" s="17" t="s">
        <v>45</v>
      </c>
      <c r="C173" s="17">
        <v>2025</v>
      </c>
      <c r="D173" s="17" t="str">
        <f t="array" ref="D173">_xlfn.SWITCH(E173,"Bagor","35.18.14","Sukomoro",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3" s="16" t="s">
        <v>103</v>
      </c>
      <c r="F173" s="17" t="s">
        <v>581</v>
      </c>
      <c r="G173" s="17" t="s">
        <v>582</v>
      </c>
      <c r="H173" s="16" t="s">
        <v>47</v>
      </c>
      <c r="I173" s="16">
        <v>2</v>
      </c>
      <c r="J173" s="16">
        <v>13</v>
      </c>
      <c r="K173" s="16">
        <f t="shared" si="2"/>
        <v>15</v>
      </c>
      <c r="L173" s="36">
        <v>42500000</v>
      </c>
      <c r="M173" s="17" t="s">
        <v>583</v>
      </c>
      <c r="N173" s="35"/>
      <c r="O173" s="16"/>
      <c r="P173" s="18">
        <v>61500000</v>
      </c>
      <c r="Q173" s="17" t="s">
        <v>584</v>
      </c>
      <c r="R173" s="35"/>
      <c r="S173" s="16"/>
      <c r="T173" s="36">
        <v>15590000</v>
      </c>
      <c r="U173" s="20" t="s">
        <v>22</v>
      </c>
      <c r="V173" s="16">
        <v>0</v>
      </c>
      <c r="W173" s="16">
        <v>0</v>
      </c>
      <c r="X173" s="16">
        <v>0</v>
      </c>
      <c r="Y173" s="16">
        <v>100</v>
      </c>
      <c r="Z173" s="16">
        <v>0</v>
      </c>
      <c r="AA173" s="16">
        <v>0</v>
      </c>
      <c r="AB173" s="16">
        <v>0</v>
      </c>
      <c r="AC173" s="16"/>
      <c r="AD173" s="24">
        <v>2002</v>
      </c>
      <c r="AE173" s="23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</row>
    <row r="174" spans="1:84" s="2" customFormat="1" x14ac:dyDescent="0.2">
      <c r="A174" s="17" t="s">
        <v>3921</v>
      </c>
      <c r="B174" s="17" t="s">
        <v>45</v>
      </c>
      <c r="C174" s="17">
        <v>2025</v>
      </c>
      <c r="D174" s="17" t="str">
        <f t="array" ref="D174">_xlfn.SWITCH(E174,"Bagor","35.18.14","Sukomoro",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4" s="16" t="s">
        <v>103</v>
      </c>
      <c r="F174" s="17" t="s">
        <v>581</v>
      </c>
      <c r="G174" s="17" t="s">
        <v>585</v>
      </c>
      <c r="H174" s="16" t="s">
        <v>47</v>
      </c>
      <c r="I174" s="16">
        <v>15</v>
      </c>
      <c r="J174" s="16">
        <v>9</v>
      </c>
      <c r="K174" s="16">
        <f t="shared" si="2"/>
        <v>24</v>
      </c>
      <c r="L174" s="36">
        <v>221100000</v>
      </c>
      <c r="M174" s="17" t="s">
        <v>586</v>
      </c>
      <c r="N174" s="18">
        <v>4500</v>
      </c>
      <c r="O174" s="16" t="s">
        <v>33</v>
      </c>
      <c r="P174" s="18">
        <v>135000000</v>
      </c>
      <c r="Q174" s="17" t="s">
        <v>587</v>
      </c>
      <c r="R174" s="18">
        <v>70</v>
      </c>
      <c r="S174" s="16" t="s">
        <v>51</v>
      </c>
      <c r="T174" s="36">
        <v>71250000</v>
      </c>
      <c r="U174" s="20" t="s">
        <v>22</v>
      </c>
      <c r="V174" s="16">
        <v>0</v>
      </c>
      <c r="W174" s="16">
        <v>0</v>
      </c>
      <c r="X174" s="16">
        <v>0</v>
      </c>
      <c r="Y174" s="16">
        <v>70</v>
      </c>
      <c r="Z174" s="16">
        <v>30</v>
      </c>
      <c r="AA174" s="16">
        <v>0</v>
      </c>
      <c r="AB174" s="16">
        <v>0</v>
      </c>
      <c r="AC174" s="16"/>
      <c r="AD174" s="24">
        <v>2002</v>
      </c>
      <c r="AE174" s="23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</row>
    <row r="175" spans="1:84" s="2" customFormat="1" x14ac:dyDescent="0.2">
      <c r="A175" s="17" t="s">
        <v>3921</v>
      </c>
      <c r="B175" s="17" t="s">
        <v>45</v>
      </c>
      <c r="C175" s="17">
        <v>2025</v>
      </c>
      <c r="D175" s="17" t="str">
        <f t="array" ref="D175">_xlfn.SWITCH(E175,"Bagor","35.18.14","Sukomoro",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5" s="16" t="s">
        <v>103</v>
      </c>
      <c r="F175" s="17" t="s">
        <v>588</v>
      </c>
      <c r="G175" s="17" t="s">
        <v>589</v>
      </c>
      <c r="H175" s="16" t="s">
        <v>47</v>
      </c>
      <c r="I175" s="16">
        <v>0</v>
      </c>
      <c r="J175" s="16">
        <v>5</v>
      </c>
      <c r="K175" s="16">
        <f t="shared" si="2"/>
        <v>5</v>
      </c>
      <c r="L175" s="36">
        <v>147000000</v>
      </c>
      <c r="M175" s="17" t="s">
        <v>48</v>
      </c>
      <c r="N175" s="35">
        <v>160</v>
      </c>
      <c r="O175" s="16" t="s">
        <v>211</v>
      </c>
      <c r="P175" s="18">
        <v>67550000</v>
      </c>
      <c r="Q175" s="17" t="s">
        <v>57</v>
      </c>
      <c r="R175" s="35">
        <v>63</v>
      </c>
      <c r="S175" s="16" t="s">
        <v>51</v>
      </c>
      <c r="T175" s="36">
        <v>29250000</v>
      </c>
      <c r="U175" s="20" t="s">
        <v>22</v>
      </c>
      <c r="V175" s="16" t="s">
        <v>52</v>
      </c>
      <c r="W175" s="16">
        <v>630</v>
      </c>
      <c r="X175" s="16" t="s">
        <v>53</v>
      </c>
      <c r="Y175" s="16">
        <v>60</v>
      </c>
      <c r="Z175" s="16">
        <v>40</v>
      </c>
      <c r="AA175" s="16">
        <v>0</v>
      </c>
      <c r="AB175" s="16">
        <v>0</v>
      </c>
      <c r="AC175" s="16"/>
      <c r="AD175" s="24">
        <v>2002</v>
      </c>
      <c r="AE175" s="23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</row>
    <row r="176" spans="1:84" s="2" customFormat="1" x14ac:dyDescent="0.2">
      <c r="A176" s="17" t="s">
        <v>3921</v>
      </c>
      <c r="B176" s="17" t="s">
        <v>45</v>
      </c>
      <c r="C176" s="17">
        <v>2025</v>
      </c>
      <c r="D176" s="17" t="str">
        <f t="array" ref="D176">_xlfn.SWITCH(E176,"Bagor","35.18.14","Sukomoro",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76" s="16" t="s">
        <v>140</v>
      </c>
      <c r="F176" s="17" t="s">
        <v>590</v>
      </c>
      <c r="G176" s="17" t="s">
        <v>591</v>
      </c>
      <c r="H176" s="16" t="s">
        <v>47</v>
      </c>
      <c r="I176" s="16">
        <v>3</v>
      </c>
      <c r="J176" s="16">
        <v>20</v>
      </c>
      <c r="K176" s="16">
        <f t="shared" si="2"/>
        <v>23</v>
      </c>
      <c r="L176" s="36">
        <v>281000000</v>
      </c>
      <c r="M176" s="17" t="s">
        <v>48</v>
      </c>
      <c r="N176" s="35" t="s">
        <v>592</v>
      </c>
      <c r="O176" s="16" t="s">
        <v>492</v>
      </c>
      <c r="P176" s="18">
        <v>249850000</v>
      </c>
      <c r="Q176" s="17" t="s">
        <v>57</v>
      </c>
      <c r="R176" s="35">
        <v>247</v>
      </c>
      <c r="S176" s="16" t="s">
        <v>51</v>
      </c>
      <c r="T176" s="36">
        <v>145745000</v>
      </c>
      <c r="U176" s="20" t="s">
        <v>22</v>
      </c>
      <c r="V176" s="16" t="s">
        <v>52</v>
      </c>
      <c r="W176" s="16">
        <v>2470</v>
      </c>
      <c r="X176" s="16" t="s">
        <v>53</v>
      </c>
      <c r="Y176" s="16">
        <v>70</v>
      </c>
      <c r="Z176" s="16">
        <v>30</v>
      </c>
      <c r="AA176" s="16">
        <v>0</v>
      </c>
      <c r="AB176" s="16">
        <v>0</v>
      </c>
      <c r="AC176" s="16"/>
      <c r="AD176" s="24">
        <v>2002</v>
      </c>
      <c r="AE176" s="23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</row>
    <row r="177" spans="1:84" s="2" customFormat="1" x14ac:dyDescent="0.2">
      <c r="A177" s="17" t="s">
        <v>3921</v>
      </c>
      <c r="B177" s="17" t="s">
        <v>45</v>
      </c>
      <c r="C177" s="17">
        <v>2025</v>
      </c>
      <c r="D177" s="17" t="str">
        <f t="array" ref="D177">_xlfn.SWITCH(E177,"Bagor","35.18.14","Sukomoro",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77" s="16" t="s">
        <v>140</v>
      </c>
      <c r="F177" s="17" t="s">
        <v>139</v>
      </c>
      <c r="G177" s="17" t="s">
        <v>288</v>
      </c>
      <c r="H177" s="16" t="s">
        <v>47</v>
      </c>
      <c r="I177" s="16">
        <v>1</v>
      </c>
      <c r="J177" s="16">
        <v>7</v>
      </c>
      <c r="K177" s="16">
        <f t="shared" si="2"/>
        <v>8</v>
      </c>
      <c r="L177" s="36">
        <v>150000000</v>
      </c>
      <c r="M177" s="17" t="s">
        <v>48</v>
      </c>
      <c r="N177" s="35">
        <v>240</v>
      </c>
      <c r="O177" s="16" t="s">
        <v>51</v>
      </c>
      <c r="P177" s="18">
        <v>245000000</v>
      </c>
      <c r="Q177" s="17" t="s">
        <v>57</v>
      </c>
      <c r="R177" s="35">
        <v>250</v>
      </c>
      <c r="S177" s="16" t="s">
        <v>51</v>
      </c>
      <c r="T177" s="36">
        <v>98290000</v>
      </c>
      <c r="U177" s="20" t="s">
        <v>22</v>
      </c>
      <c r="V177" s="16" t="s">
        <v>52</v>
      </c>
      <c r="W177" s="16">
        <v>1650</v>
      </c>
      <c r="X177" s="16" t="s">
        <v>53</v>
      </c>
      <c r="Y177" s="16">
        <v>65</v>
      </c>
      <c r="Z177" s="16">
        <v>35</v>
      </c>
      <c r="AA177" s="16">
        <v>0</v>
      </c>
      <c r="AB177" s="16">
        <v>0</v>
      </c>
      <c r="AC177" s="16"/>
      <c r="AD177" s="47">
        <v>39395</v>
      </c>
      <c r="AE177" s="23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</row>
    <row r="178" spans="1:84" s="2" customFormat="1" x14ac:dyDescent="0.2">
      <c r="A178" s="17" t="s">
        <v>3921</v>
      </c>
      <c r="B178" s="17" t="s">
        <v>45</v>
      </c>
      <c r="C178" s="17">
        <v>2025</v>
      </c>
      <c r="D178" s="17" t="str">
        <f t="array" ref="D178">_xlfn.SWITCH(E178,"Bagor","35.18.14","Sukomoro",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78" s="16" t="s">
        <v>140</v>
      </c>
      <c r="F178" s="17" t="s">
        <v>590</v>
      </c>
      <c r="G178" s="17" t="s">
        <v>593</v>
      </c>
      <c r="H178" s="16" t="s">
        <v>31</v>
      </c>
      <c r="I178" s="16">
        <v>3</v>
      </c>
      <c r="J178" s="16">
        <v>12</v>
      </c>
      <c r="K178" s="16">
        <f t="shared" si="2"/>
        <v>15</v>
      </c>
      <c r="L178" s="36">
        <v>65000000</v>
      </c>
      <c r="M178" s="17" t="s">
        <v>180</v>
      </c>
      <c r="N178" s="35">
        <v>15</v>
      </c>
      <c r="O178" s="16" t="s">
        <v>83</v>
      </c>
      <c r="P178" s="18">
        <v>72000000</v>
      </c>
      <c r="Q178" s="17" t="s">
        <v>159</v>
      </c>
      <c r="R178" s="35" t="s">
        <v>580</v>
      </c>
      <c r="S178" s="16" t="s">
        <v>83</v>
      </c>
      <c r="T178" s="36">
        <v>38350000</v>
      </c>
      <c r="U178" s="20" t="s">
        <v>22</v>
      </c>
      <c r="V178" s="16" t="s">
        <v>50</v>
      </c>
      <c r="W178" s="16">
        <v>155</v>
      </c>
      <c r="X178" s="16" t="s">
        <v>51</v>
      </c>
      <c r="Y178" s="16">
        <v>70</v>
      </c>
      <c r="Z178" s="16">
        <v>30</v>
      </c>
      <c r="AA178" s="16">
        <v>0</v>
      </c>
      <c r="AB178" s="16">
        <v>0</v>
      </c>
      <c r="AC178" s="16"/>
      <c r="AD178" s="24">
        <v>2002</v>
      </c>
      <c r="AE178" s="23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</row>
    <row r="179" spans="1:84" s="2" customFormat="1" x14ac:dyDescent="0.2">
      <c r="A179" s="17" t="s">
        <v>3921</v>
      </c>
      <c r="B179" s="17" t="s">
        <v>45</v>
      </c>
      <c r="C179" s="17">
        <v>2025</v>
      </c>
      <c r="D179" s="17" t="str">
        <f t="array" ref="D179">_xlfn.SWITCH(E179,"Bagor","35.18.14","Sukomoro",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79" s="16" t="s">
        <v>140</v>
      </c>
      <c r="F179" s="17" t="s">
        <v>139</v>
      </c>
      <c r="G179" s="17" t="s">
        <v>594</v>
      </c>
      <c r="H179" s="16" t="s">
        <v>47</v>
      </c>
      <c r="I179" s="16">
        <v>1</v>
      </c>
      <c r="J179" s="16">
        <v>4</v>
      </c>
      <c r="K179" s="16">
        <f t="shared" si="2"/>
        <v>5</v>
      </c>
      <c r="L179" s="36">
        <v>52500000</v>
      </c>
      <c r="M179" s="17" t="s">
        <v>595</v>
      </c>
      <c r="N179" s="35">
        <v>750</v>
      </c>
      <c r="O179" s="16" t="s">
        <v>49</v>
      </c>
      <c r="P179" s="18">
        <v>19500000</v>
      </c>
      <c r="Q179" s="17" t="s">
        <v>596</v>
      </c>
      <c r="R179" s="35">
        <v>800</v>
      </c>
      <c r="S179" s="16" t="s">
        <v>229</v>
      </c>
      <c r="T179" s="36">
        <v>9600000</v>
      </c>
      <c r="U179" s="20" t="s">
        <v>22</v>
      </c>
      <c r="V179" s="16">
        <v>0</v>
      </c>
      <c r="W179" s="16">
        <v>0</v>
      </c>
      <c r="X179" s="16">
        <v>0</v>
      </c>
      <c r="Y179" s="16">
        <v>55</v>
      </c>
      <c r="Z179" s="16">
        <v>45</v>
      </c>
      <c r="AA179" s="16">
        <v>0</v>
      </c>
      <c r="AB179" s="16">
        <v>0</v>
      </c>
      <c r="AC179" s="16"/>
      <c r="AD179" s="24">
        <v>2002</v>
      </c>
      <c r="AE179" s="23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</row>
    <row r="180" spans="1:84" s="2" customFormat="1" x14ac:dyDescent="0.2">
      <c r="A180" s="17" t="s">
        <v>3921</v>
      </c>
      <c r="B180" s="17" t="s">
        <v>45</v>
      </c>
      <c r="C180" s="17">
        <v>2025</v>
      </c>
      <c r="D180" s="17" t="str">
        <f t="array" ref="D180">_xlfn.SWITCH(E180,"Bagor","35.18.14","Sukomoro",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80" s="16" t="s">
        <v>140</v>
      </c>
      <c r="F180" s="17" t="s">
        <v>139</v>
      </c>
      <c r="G180" s="17" t="s">
        <v>597</v>
      </c>
      <c r="H180" s="16" t="s">
        <v>47</v>
      </c>
      <c r="I180" s="16">
        <v>1</v>
      </c>
      <c r="J180" s="16">
        <v>26</v>
      </c>
      <c r="K180" s="16">
        <f t="shared" si="2"/>
        <v>27</v>
      </c>
      <c r="L180" s="36">
        <v>142500000</v>
      </c>
      <c r="M180" s="17" t="s">
        <v>48</v>
      </c>
      <c r="N180" s="35">
        <v>200</v>
      </c>
      <c r="O180" s="16" t="s">
        <v>211</v>
      </c>
      <c r="P180" s="18">
        <v>55000000</v>
      </c>
      <c r="Q180" s="17" t="s">
        <v>57</v>
      </c>
      <c r="R180" s="35" t="s">
        <v>598</v>
      </c>
      <c r="S180" s="16" t="s">
        <v>51</v>
      </c>
      <c r="T180" s="36">
        <v>25000000</v>
      </c>
      <c r="U180" s="20" t="s">
        <v>22</v>
      </c>
      <c r="V180" s="16" t="s">
        <v>52</v>
      </c>
      <c r="W180" s="16">
        <v>555</v>
      </c>
      <c r="X180" s="16" t="s">
        <v>53</v>
      </c>
      <c r="Y180" s="16">
        <v>60</v>
      </c>
      <c r="Z180" s="16">
        <v>40</v>
      </c>
      <c r="AA180" s="16">
        <v>0</v>
      </c>
      <c r="AB180" s="16">
        <v>0</v>
      </c>
      <c r="AC180" s="16"/>
      <c r="AD180" s="24">
        <v>2002</v>
      </c>
      <c r="AE180" s="23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</row>
    <row r="181" spans="1:84" s="2" customFormat="1" x14ac:dyDescent="0.2">
      <c r="A181" s="17" t="s">
        <v>3921</v>
      </c>
      <c r="B181" s="17" t="s">
        <v>45</v>
      </c>
      <c r="C181" s="17">
        <v>2025</v>
      </c>
      <c r="D181" s="17" t="str">
        <f t="array" ref="D181">_xlfn.SWITCH(E181,"Bagor","35.18.14","Sukomoro",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1" s="16" t="s">
        <v>29</v>
      </c>
      <c r="F181" s="17" t="s">
        <v>245</v>
      </c>
      <c r="G181" s="17" t="s">
        <v>599</v>
      </c>
      <c r="H181" s="16" t="s">
        <v>81</v>
      </c>
      <c r="I181" s="16">
        <v>2</v>
      </c>
      <c r="J181" s="16">
        <v>21</v>
      </c>
      <c r="K181" s="16">
        <f t="shared" si="2"/>
        <v>23</v>
      </c>
      <c r="L181" s="36">
        <v>146750000</v>
      </c>
      <c r="M181" s="17" t="s">
        <v>48</v>
      </c>
      <c r="N181" s="36">
        <v>120</v>
      </c>
      <c r="O181" s="16" t="s">
        <v>211</v>
      </c>
      <c r="P181" s="18">
        <v>51000000</v>
      </c>
      <c r="Q181" s="17" t="s">
        <v>57</v>
      </c>
      <c r="R181" s="35">
        <v>40</v>
      </c>
      <c r="S181" s="16" t="s">
        <v>51</v>
      </c>
      <c r="T181" s="38">
        <v>10668000</v>
      </c>
      <c r="U181" s="20" t="s">
        <v>22</v>
      </c>
      <c r="V181" s="16" t="s">
        <v>52</v>
      </c>
      <c r="W181" s="16">
        <v>400</v>
      </c>
      <c r="X181" s="16" t="s">
        <v>53</v>
      </c>
      <c r="Y181" s="16">
        <v>70</v>
      </c>
      <c r="Z181" s="16">
        <v>30</v>
      </c>
      <c r="AA181" s="16">
        <v>0</v>
      </c>
      <c r="AB181" s="16">
        <v>0</v>
      </c>
      <c r="AC181" s="16"/>
      <c r="AD181" s="24">
        <v>2002</v>
      </c>
      <c r="AE181" s="23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</row>
    <row r="182" spans="1:84" s="2" customFormat="1" x14ac:dyDescent="0.2">
      <c r="A182" s="17" t="s">
        <v>3921</v>
      </c>
      <c r="B182" s="17" t="s">
        <v>45</v>
      </c>
      <c r="C182" s="17">
        <v>2025</v>
      </c>
      <c r="D182" s="17" t="str">
        <f t="array" ref="D182">_xlfn.SWITCH(E182,"Bagor","35.18.14","Sukomoro",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2" s="16" t="s">
        <v>29</v>
      </c>
      <c r="F182" s="17" t="s">
        <v>245</v>
      </c>
      <c r="G182" s="17" t="s">
        <v>600</v>
      </c>
      <c r="H182" s="16" t="s">
        <v>47</v>
      </c>
      <c r="I182" s="16">
        <v>1</v>
      </c>
      <c r="J182" s="16">
        <v>29</v>
      </c>
      <c r="K182" s="16">
        <f t="shared" si="2"/>
        <v>30</v>
      </c>
      <c r="L182" s="36">
        <v>135000000</v>
      </c>
      <c r="M182" s="17" t="s">
        <v>48</v>
      </c>
      <c r="N182" s="36">
        <v>200</v>
      </c>
      <c r="O182" s="16" t="s">
        <v>211</v>
      </c>
      <c r="P182" s="18">
        <v>85600000</v>
      </c>
      <c r="Q182" s="17" t="s">
        <v>57</v>
      </c>
      <c r="R182" s="35">
        <v>64</v>
      </c>
      <c r="S182" s="16" t="s">
        <v>51</v>
      </c>
      <c r="T182" s="38">
        <v>17275000</v>
      </c>
      <c r="U182" s="20" t="s">
        <v>22</v>
      </c>
      <c r="V182" s="16" t="s">
        <v>52</v>
      </c>
      <c r="W182" s="16">
        <v>640</v>
      </c>
      <c r="X182" s="16" t="s">
        <v>53</v>
      </c>
      <c r="Y182" s="16">
        <v>60</v>
      </c>
      <c r="Z182" s="16">
        <v>40</v>
      </c>
      <c r="AA182" s="16">
        <v>0</v>
      </c>
      <c r="AB182" s="16">
        <v>0</v>
      </c>
      <c r="AC182" s="16"/>
      <c r="AD182" s="24">
        <v>2002</v>
      </c>
      <c r="AE182" s="23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</row>
    <row r="183" spans="1:84" s="2" customFormat="1" x14ac:dyDescent="0.2">
      <c r="A183" s="17" t="s">
        <v>3921</v>
      </c>
      <c r="B183" s="17" t="s">
        <v>45</v>
      </c>
      <c r="C183" s="17">
        <v>2025</v>
      </c>
      <c r="D183" s="17" t="str">
        <f t="array" ref="D183">_xlfn.SWITCH(E183,"Bagor","35.18.14","Sukomoro",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3" s="16" t="s">
        <v>29</v>
      </c>
      <c r="F183" s="17" t="s">
        <v>601</v>
      </c>
      <c r="G183" s="17" t="s">
        <v>602</v>
      </c>
      <c r="H183" s="16" t="s">
        <v>47</v>
      </c>
      <c r="I183" s="16">
        <v>2</v>
      </c>
      <c r="J183" s="16">
        <v>11</v>
      </c>
      <c r="K183" s="16">
        <f t="shared" si="2"/>
        <v>13</v>
      </c>
      <c r="L183" s="36">
        <v>158250000</v>
      </c>
      <c r="M183" s="17" t="s">
        <v>48</v>
      </c>
      <c r="N183" s="36">
        <v>72</v>
      </c>
      <c r="O183" s="16" t="s">
        <v>211</v>
      </c>
      <c r="P183" s="18">
        <v>36576000</v>
      </c>
      <c r="Q183" s="17" t="s">
        <v>57</v>
      </c>
      <c r="R183" s="35">
        <v>24</v>
      </c>
      <c r="S183" s="16" t="s">
        <v>51</v>
      </c>
      <c r="T183" s="38">
        <v>6412000</v>
      </c>
      <c r="U183" s="20" t="s">
        <v>22</v>
      </c>
      <c r="V183" s="16" t="s">
        <v>52</v>
      </c>
      <c r="W183" s="16">
        <v>240</v>
      </c>
      <c r="X183" s="16" t="s">
        <v>53</v>
      </c>
      <c r="Y183" s="16">
        <v>70</v>
      </c>
      <c r="Z183" s="16">
        <v>30</v>
      </c>
      <c r="AA183" s="16">
        <v>0</v>
      </c>
      <c r="AB183" s="16">
        <v>0</v>
      </c>
      <c r="AC183" s="16"/>
      <c r="AD183" s="24">
        <v>2002</v>
      </c>
      <c r="AE183" s="23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</row>
    <row r="184" spans="1:84" s="2" customFormat="1" ht="12" x14ac:dyDescent="0.2">
      <c r="A184" s="17" t="s">
        <v>3921</v>
      </c>
      <c r="B184" s="17" t="s">
        <v>45</v>
      </c>
      <c r="C184" s="17">
        <v>2025</v>
      </c>
      <c r="D184" s="17" t="str">
        <f t="array" ref="D184">_xlfn.SWITCH(E184,"Bagor","35.18.14","Sukomoro",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4" s="16" t="s">
        <v>29</v>
      </c>
      <c r="F184" s="17" t="s">
        <v>245</v>
      </c>
      <c r="G184" s="17" t="s">
        <v>599</v>
      </c>
      <c r="H184" s="16" t="s">
        <v>47</v>
      </c>
      <c r="I184" s="16">
        <v>0</v>
      </c>
      <c r="J184" s="16">
        <v>41</v>
      </c>
      <c r="K184" s="16">
        <f t="shared" si="2"/>
        <v>41</v>
      </c>
      <c r="L184" s="36">
        <v>135000000</v>
      </c>
      <c r="M184" s="17" t="s">
        <v>603</v>
      </c>
      <c r="N184" s="35">
        <v>86.5</v>
      </c>
      <c r="O184" s="16" t="s">
        <v>604</v>
      </c>
      <c r="P184" s="18">
        <v>91156000</v>
      </c>
      <c r="Q184" s="17" t="s">
        <v>57</v>
      </c>
      <c r="R184" s="35" t="s">
        <v>605</v>
      </c>
      <c r="S184" s="16" t="s">
        <v>51</v>
      </c>
      <c r="T184" s="38">
        <v>46032000</v>
      </c>
      <c r="U184" s="20" t="s">
        <v>22</v>
      </c>
      <c r="V184" s="16" t="s">
        <v>52</v>
      </c>
      <c r="W184" s="16">
        <v>1065</v>
      </c>
      <c r="X184" s="16" t="s">
        <v>53</v>
      </c>
      <c r="Y184" s="16">
        <v>75</v>
      </c>
      <c r="Z184" s="16">
        <v>25</v>
      </c>
      <c r="AA184" s="16">
        <v>0</v>
      </c>
      <c r="AB184" s="16">
        <v>0</v>
      </c>
      <c r="AC184" s="16"/>
      <c r="AD184" s="24">
        <v>2002</v>
      </c>
      <c r="AE184" s="23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</row>
    <row r="185" spans="1:84" s="2" customFormat="1" x14ac:dyDescent="0.2">
      <c r="A185" s="17" t="s">
        <v>3921</v>
      </c>
      <c r="B185" s="17" t="s">
        <v>45</v>
      </c>
      <c r="C185" s="17">
        <v>2025</v>
      </c>
      <c r="D185" s="17" t="str">
        <f t="array" ref="D185">_xlfn.SWITCH(E185,"Bagor","35.18.14","Sukomoro",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5" s="16" t="s">
        <v>29</v>
      </c>
      <c r="F185" s="17" t="s">
        <v>418</v>
      </c>
      <c r="G185" s="17" t="s">
        <v>606</v>
      </c>
      <c r="H185" s="16" t="s">
        <v>31</v>
      </c>
      <c r="I185" s="16">
        <v>4</v>
      </c>
      <c r="J185" s="16">
        <v>2</v>
      </c>
      <c r="K185" s="16">
        <f t="shared" si="2"/>
        <v>6</v>
      </c>
      <c r="L185" s="36">
        <v>12500000</v>
      </c>
      <c r="M185" s="17" t="s">
        <v>172</v>
      </c>
      <c r="N185" s="36">
        <v>30</v>
      </c>
      <c r="O185" s="16" t="s">
        <v>83</v>
      </c>
      <c r="P185" s="18">
        <v>54500000</v>
      </c>
      <c r="Q185" s="17" t="s">
        <v>173</v>
      </c>
      <c r="R185" s="35">
        <v>12</v>
      </c>
      <c r="S185" s="16" t="s">
        <v>83</v>
      </c>
      <c r="T185" s="38">
        <v>25000000</v>
      </c>
      <c r="U185" s="20" t="s">
        <v>22</v>
      </c>
      <c r="V185" s="16" t="s">
        <v>50</v>
      </c>
      <c r="W185" s="16">
        <v>100</v>
      </c>
      <c r="X185" s="16" t="s">
        <v>51</v>
      </c>
      <c r="Y185" s="16">
        <v>100</v>
      </c>
      <c r="Z185" s="16">
        <v>0</v>
      </c>
      <c r="AA185" s="16">
        <v>0</v>
      </c>
      <c r="AB185" s="16">
        <v>0</v>
      </c>
      <c r="AC185" s="16"/>
      <c r="AD185" s="24">
        <v>2002</v>
      </c>
      <c r="AE185" s="23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</row>
    <row r="186" spans="1:84" s="2" customFormat="1" x14ac:dyDescent="0.2">
      <c r="A186" s="17" t="s">
        <v>3921</v>
      </c>
      <c r="B186" s="17" t="s">
        <v>45</v>
      </c>
      <c r="C186" s="17">
        <v>2025</v>
      </c>
      <c r="D186" s="17" t="str">
        <f t="array" ref="D186">_xlfn.SWITCH(E186,"Bagor","35.18.14","Sukomoro",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6" s="16" t="s">
        <v>29</v>
      </c>
      <c r="F186" s="17" t="s">
        <v>418</v>
      </c>
      <c r="G186" s="17" t="s">
        <v>607</v>
      </c>
      <c r="H186" s="16" t="s">
        <v>31</v>
      </c>
      <c r="I186" s="16">
        <v>3</v>
      </c>
      <c r="J186" s="16">
        <v>1</v>
      </c>
      <c r="K186" s="16">
        <f t="shared" si="2"/>
        <v>4</v>
      </c>
      <c r="L186" s="36">
        <v>12500000</v>
      </c>
      <c r="M186" s="17" t="s">
        <v>172</v>
      </c>
      <c r="N186" s="36">
        <v>27</v>
      </c>
      <c r="O186" s="16" t="s">
        <v>83</v>
      </c>
      <c r="P186" s="18">
        <v>49750000</v>
      </c>
      <c r="Q186" s="17" t="s">
        <v>173</v>
      </c>
      <c r="R186" s="35">
        <v>11</v>
      </c>
      <c r="S186" s="16" t="s">
        <v>83</v>
      </c>
      <c r="T186" s="38">
        <v>22500000</v>
      </c>
      <c r="U186" s="20" t="s">
        <v>22</v>
      </c>
      <c r="V186" s="16" t="s">
        <v>50</v>
      </c>
      <c r="W186" s="16">
        <v>90</v>
      </c>
      <c r="X186" s="16" t="s">
        <v>51</v>
      </c>
      <c r="Y186" s="16">
        <v>100</v>
      </c>
      <c r="Z186" s="16">
        <v>0</v>
      </c>
      <c r="AA186" s="16">
        <v>0</v>
      </c>
      <c r="AB186" s="16">
        <v>0</v>
      </c>
      <c r="AC186" s="16"/>
      <c r="AD186" s="24">
        <v>2002</v>
      </c>
      <c r="AE186" s="23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</row>
    <row r="187" spans="1:84" s="2" customFormat="1" x14ac:dyDescent="0.2">
      <c r="A187" s="17" t="s">
        <v>3921</v>
      </c>
      <c r="B187" s="17" t="s">
        <v>45</v>
      </c>
      <c r="C187" s="17">
        <v>2025</v>
      </c>
      <c r="D187" s="17" t="str">
        <f t="array" ref="D187">_xlfn.SWITCH(E187,"Bagor","35.18.14","Sukomoro",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7" s="16" t="s">
        <v>29</v>
      </c>
      <c r="F187" s="17" t="s">
        <v>414</v>
      </c>
      <c r="G187" s="17" t="s">
        <v>608</v>
      </c>
      <c r="H187" s="16" t="s">
        <v>47</v>
      </c>
      <c r="I187" s="16">
        <v>3</v>
      </c>
      <c r="J187" s="16">
        <v>1</v>
      </c>
      <c r="K187" s="16">
        <f t="shared" si="2"/>
        <v>4</v>
      </c>
      <c r="L187" s="36">
        <v>15000000</v>
      </c>
      <c r="M187" s="17" t="s">
        <v>437</v>
      </c>
      <c r="N187" s="36">
        <v>273</v>
      </c>
      <c r="O187" s="16" t="s">
        <v>35</v>
      </c>
      <c r="P187" s="18">
        <v>3100000</v>
      </c>
      <c r="Q187" s="17" t="s">
        <v>153</v>
      </c>
      <c r="R187" s="35">
        <v>263</v>
      </c>
      <c r="S187" s="16" t="s">
        <v>35</v>
      </c>
      <c r="T187" s="38">
        <v>1578000</v>
      </c>
      <c r="U187" s="20" t="s">
        <v>22</v>
      </c>
      <c r="V187" s="16" t="s">
        <v>50</v>
      </c>
      <c r="W187" s="16">
        <v>500</v>
      </c>
      <c r="X187" s="16" t="s">
        <v>51</v>
      </c>
      <c r="Y187" s="16">
        <v>75</v>
      </c>
      <c r="Z187" s="16">
        <v>25</v>
      </c>
      <c r="AA187" s="16">
        <v>0</v>
      </c>
      <c r="AB187" s="16">
        <v>0</v>
      </c>
      <c r="AC187" s="16"/>
      <c r="AD187" s="24">
        <v>2002</v>
      </c>
      <c r="AE187" s="23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</row>
    <row r="188" spans="1:84" s="2" customFormat="1" x14ac:dyDescent="0.2">
      <c r="A188" s="17" t="s">
        <v>3921</v>
      </c>
      <c r="B188" s="17" t="s">
        <v>45</v>
      </c>
      <c r="C188" s="17">
        <v>2025</v>
      </c>
      <c r="D188" s="17" t="str">
        <f t="array" ref="D188">_xlfn.SWITCH(E188,"Bagor","35.18.14","Sukomoro",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8" s="16" t="s">
        <v>29</v>
      </c>
      <c r="F188" s="17" t="s">
        <v>245</v>
      </c>
      <c r="G188" s="17" t="s">
        <v>609</v>
      </c>
      <c r="H188" s="16" t="s">
        <v>47</v>
      </c>
      <c r="I188" s="16">
        <v>0</v>
      </c>
      <c r="J188" s="16">
        <v>7</v>
      </c>
      <c r="K188" s="16">
        <f t="shared" si="2"/>
        <v>7</v>
      </c>
      <c r="L188" s="36">
        <v>145000000</v>
      </c>
      <c r="M188" s="17" t="s">
        <v>48</v>
      </c>
      <c r="N188" s="36">
        <v>62</v>
      </c>
      <c r="O188" s="16" t="s">
        <v>211</v>
      </c>
      <c r="P188" s="18">
        <v>31496000</v>
      </c>
      <c r="Q188" s="17" t="s">
        <v>57</v>
      </c>
      <c r="R188" s="35">
        <v>20</v>
      </c>
      <c r="S188" s="16" t="s">
        <v>51</v>
      </c>
      <c r="T188" s="38">
        <v>10400000</v>
      </c>
      <c r="U188" s="20" t="s">
        <v>22</v>
      </c>
      <c r="V188" s="16" t="s">
        <v>52</v>
      </c>
      <c r="W188" s="16">
        <v>200</v>
      </c>
      <c r="X188" s="16" t="s">
        <v>53</v>
      </c>
      <c r="Y188" s="16">
        <v>65</v>
      </c>
      <c r="Z188" s="16">
        <v>35</v>
      </c>
      <c r="AA188" s="16">
        <v>0</v>
      </c>
      <c r="AB188" s="16">
        <v>0</v>
      </c>
      <c r="AC188" s="16"/>
      <c r="AD188" s="24">
        <v>2002</v>
      </c>
      <c r="AE188" s="23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</row>
    <row r="189" spans="1:84" s="2" customFormat="1" x14ac:dyDescent="0.2">
      <c r="A189" s="17" t="s">
        <v>3921</v>
      </c>
      <c r="B189" s="17" t="s">
        <v>45</v>
      </c>
      <c r="C189" s="17">
        <v>2025</v>
      </c>
      <c r="D189" s="17" t="str">
        <f t="array" ref="D189">_xlfn.SWITCH(E189,"Bagor","35.18.14","Sukomoro",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9" s="16" t="s">
        <v>29</v>
      </c>
      <c r="F189" s="17" t="s">
        <v>245</v>
      </c>
      <c r="G189" s="17" t="s">
        <v>610</v>
      </c>
      <c r="H189" s="16" t="s">
        <v>47</v>
      </c>
      <c r="I189" s="16">
        <v>1</v>
      </c>
      <c r="J189" s="16">
        <v>7</v>
      </c>
      <c r="K189" s="16">
        <f t="shared" si="2"/>
        <v>8</v>
      </c>
      <c r="L189" s="36">
        <v>150000000</v>
      </c>
      <c r="M189" s="17" t="s">
        <v>48</v>
      </c>
      <c r="N189" s="36">
        <v>68</v>
      </c>
      <c r="O189" s="16" t="s">
        <v>211</v>
      </c>
      <c r="P189" s="18">
        <v>34544000</v>
      </c>
      <c r="Q189" s="17" t="s">
        <v>57</v>
      </c>
      <c r="R189" s="35">
        <v>22</v>
      </c>
      <c r="S189" s="16" t="s">
        <v>51</v>
      </c>
      <c r="T189" s="38">
        <v>11440000</v>
      </c>
      <c r="U189" s="20" t="s">
        <v>22</v>
      </c>
      <c r="V189" s="16" t="s">
        <v>52</v>
      </c>
      <c r="W189" s="16">
        <v>220</v>
      </c>
      <c r="X189" s="16" t="s">
        <v>53</v>
      </c>
      <c r="Y189" s="16">
        <v>60</v>
      </c>
      <c r="Z189" s="16">
        <v>40</v>
      </c>
      <c r="AA189" s="16">
        <v>0</v>
      </c>
      <c r="AB189" s="16">
        <v>0</v>
      </c>
      <c r="AC189" s="16"/>
      <c r="AD189" s="24">
        <v>2002</v>
      </c>
      <c r="AE189" s="23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</row>
    <row r="190" spans="1:84" s="2" customFormat="1" x14ac:dyDescent="0.2">
      <c r="A190" s="17" t="s">
        <v>3921</v>
      </c>
      <c r="B190" s="17" t="s">
        <v>45</v>
      </c>
      <c r="C190" s="17">
        <v>2025</v>
      </c>
      <c r="D190" s="17" t="str">
        <f t="array" ref="D190">_xlfn.SWITCH(E190,"Bagor","35.18.14","Sukomoro",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90" s="16" t="s">
        <v>29</v>
      </c>
      <c r="F190" s="17" t="s">
        <v>611</v>
      </c>
      <c r="G190" s="17" t="s">
        <v>612</v>
      </c>
      <c r="H190" s="16" t="s">
        <v>47</v>
      </c>
      <c r="I190" s="16">
        <v>0</v>
      </c>
      <c r="J190" s="16">
        <v>11</v>
      </c>
      <c r="K190" s="16">
        <f t="shared" si="2"/>
        <v>11</v>
      </c>
      <c r="L190" s="36">
        <v>150000000</v>
      </c>
      <c r="M190" s="17" t="s">
        <v>48</v>
      </c>
      <c r="N190" s="36">
        <v>62</v>
      </c>
      <c r="O190" s="16" t="s">
        <v>211</v>
      </c>
      <c r="P190" s="18">
        <v>34544000</v>
      </c>
      <c r="Q190" s="17" t="s">
        <v>57</v>
      </c>
      <c r="R190" s="35">
        <v>23</v>
      </c>
      <c r="S190" s="16" t="s">
        <v>51</v>
      </c>
      <c r="T190" s="38">
        <v>11960000</v>
      </c>
      <c r="U190" s="20" t="s">
        <v>22</v>
      </c>
      <c r="V190" s="16" t="s">
        <v>52</v>
      </c>
      <c r="W190" s="16">
        <v>230</v>
      </c>
      <c r="X190" s="16" t="s">
        <v>53</v>
      </c>
      <c r="Y190" s="16">
        <v>65</v>
      </c>
      <c r="Z190" s="16">
        <v>35</v>
      </c>
      <c r="AA190" s="16">
        <v>0</v>
      </c>
      <c r="AB190" s="16">
        <v>0</v>
      </c>
      <c r="AC190" s="16"/>
      <c r="AD190" s="24">
        <v>2002</v>
      </c>
      <c r="AE190" s="23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</row>
    <row r="191" spans="1:84" s="2" customFormat="1" x14ac:dyDescent="0.2">
      <c r="A191" s="17" t="s">
        <v>3921</v>
      </c>
      <c r="B191" s="17" t="s">
        <v>45</v>
      </c>
      <c r="C191" s="17">
        <v>2025</v>
      </c>
      <c r="D191" s="17" t="str">
        <f t="array" ref="D191">_xlfn.SWITCH(E191,"Bagor","35.18.14","Sukomoro",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1" s="16" t="s">
        <v>188</v>
      </c>
      <c r="F191" s="17" t="s">
        <v>613</v>
      </c>
      <c r="G191" s="17" t="s">
        <v>614</v>
      </c>
      <c r="H191" s="16" t="s">
        <v>47</v>
      </c>
      <c r="I191" s="16">
        <v>0</v>
      </c>
      <c r="J191" s="16">
        <v>16</v>
      </c>
      <c r="K191" s="16">
        <f t="shared" si="2"/>
        <v>16</v>
      </c>
      <c r="L191" s="36">
        <v>200000000</v>
      </c>
      <c r="M191" s="17" t="s">
        <v>108</v>
      </c>
      <c r="N191" s="35">
        <v>400</v>
      </c>
      <c r="O191" s="16" t="s">
        <v>51</v>
      </c>
      <c r="P191" s="18">
        <v>143200000</v>
      </c>
      <c r="Q191" s="17" t="s">
        <v>57</v>
      </c>
      <c r="R191" s="35">
        <v>130</v>
      </c>
      <c r="S191" s="16" t="s">
        <v>51</v>
      </c>
      <c r="T191" s="36">
        <v>71500000</v>
      </c>
      <c r="U191" s="20" t="s">
        <v>22</v>
      </c>
      <c r="V191" s="16" t="s">
        <v>52</v>
      </c>
      <c r="W191" s="16">
        <v>600</v>
      </c>
      <c r="X191" s="16" t="s">
        <v>53</v>
      </c>
      <c r="Y191" s="16">
        <v>70</v>
      </c>
      <c r="Z191" s="16">
        <v>30</v>
      </c>
      <c r="AA191" s="16">
        <v>0</v>
      </c>
      <c r="AB191" s="16">
        <v>0</v>
      </c>
      <c r="AC191" s="16"/>
      <c r="AD191" s="24">
        <v>2002</v>
      </c>
      <c r="AE191" s="23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</row>
    <row r="192" spans="1:84" s="2" customFormat="1" x14ac:dyDescent="0.2">
      <c r="A192" s="17" t="s">
        <v>3921</v>
      </c>
      <c r="B192" s="17" t="s">
        <v>45</v>
      </c>
      <c r="C192" s="17">
        <v>2025</v>
      </c>
      <c r="D192" s="17" t="str">
        <f t="array" ref="D192">_xlfn.SWITCH(E192,"Bagor","35.18.14","Sukomoro",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2" s="16" t="s">
        <v>188</v>
      </c>
      <c r="F192" s="17" t="s">
        <v>615</v>
      </c>
      <c r="G192" s="17" t="s">
        <v>616</v>
      </c>
      <c r="H192" s="16" t="s">
        <v>47</v>
      </c>
      <c r="I192" s="16">
        <v>0</v>
      </c>
      <c r="J192" s="16">
        <v>18</v>
      </c>
      <c r="K192" s="16">
        <f t="shared" si="2"/>
        <v>18</v>
      </c>
      <c r="L192" s="36">
        <v>35000000</v>
      </c>
      <c r="M192" s="17" t="s">
        <v>617</v>
      </c>
      <c r="N192" s="35">
        <v>50</v>
      </c>
      <c r="O192" s="16" t="s">
        <v>51</v>
      </c>
      <c r="P192" s="18">
        <v>68724000</v>
      </c>
      <c r="Q192" s="17" t="s">
        <v>57</v>
      </c>
      <c r="R192" s="35">
        <v>55</v>
      </c>
      <c r="S192" s="16" t="s">
        <v>51</v>
      </c>
      <c r="T192" s="36">
        <v>33275000</v>
      </c>
      <c r="U192" s="20" t="s">
        <v>22</v>
      </c>
      <c r="V192" s="16" t="s">
        <v>52</v>
      </c>
      <c r="W192" s="16">
        <v>350</v>
      </c>
      <c r="X192" s="16" t="s">
        <v>53</v>
      </c>
      <c r="Y192" s="16">
        <v>90</v>
      </c>
      <c r="Z192" s="16">
        <v>10</v>
      </c>
      <c r="AA192" s="16">
        <v>0</v>
      </c>
      <c r="AB192" s="16">
        <v>0</v>
      </c>
      <c r="AC192" s="16"/>
      <c r="AD192" s="24">
        <v>2002</v>
      </c>
      <c r="AE192" s="23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</row>
    <row r="193" spans="1:84" s="2" customFormat="1" x14ac:dyDescent="0.2">
      <c r="A193" s="17" t="s">
        <v>3921</v>
      </c>
      <c r="B193" s="17" t="s">
        <v>45</v>
      </c>
      <c r="C193" s="17">
        <v>2025</v>
      </c>
      <c r="D193" s="17" t="str">
        <f t="array" ref="D193">_xlfn.SWITCH(E193,"Bagor","35.18.14","Sukomoro",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3" s="16" t="s">
        <v>188</v>
      </c>
      <c r="F193" s="17" t="s">
        <v>618</v>
      </c>
      <c r="G193" s="17" t="s">
        <v>619</v>
      </c>
      <c r="H193" s="16" t="s">
        <v>81</v>
      </c>
      <c r="I193" s="16">
        <v>0</v>
      </c>
      <c r="J193" s="16">
        <v>17</v>
      </c>
      <c r="K193" s="16">
        <f t="shared" si="2"/>
        <v>17</v>
      </c>
      <c r="L193" s="36">
        <v>300000000</v>
      </c>
      <c r="M193" s="17" t="s">
        <v>617</v>
      </c>
      <c r="N193" s="35">
        <v>240</v>
      </c>
      <c r="O193" s="16" t="s">
        <v>51</v>
      </c>
      <c r="P193" s="18">
        <v>411500000</v>
      </c>
      <c r="Q193" s="17" t="s">
        <v>57</v>
      </c>
      <c r="R193" s="35">
        <v>250</v>
      </c>
      <c r="S193" s="16" t="s">
        <v>51</v>
      </c>
      <c r="T193" s="36">
        <v>230250000</v>
      </c>
      <c r="U193" s="20" t="s">
        <v>22</v>
      </c>
      <c r="V193" s="16" t="s">
        <v>52</v>
      </c>
      <c r="W193" s="16">
        <v>275</v>
      </c>
      <c r="X193" s="16" t="s">
        <v>53</v>
      </c>
      <c r="Y193" s="16">
        <v>80</v>
      </c>
      <c r="Z193" s="16">
        <v>20</v>
      </c>
      <c r="AA193" s="16">
        <v>0</v>
      </c>
      <c r="AB193" s="16">
        <v>0</v>
      </c>
      <c r="AC193" s="16"/>
      <c r="AD193" s="34">
        <v>39353</v>
      </c>
      <c r="AE193" s="23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</row>
    <row r="194" spans="1:84" s="2" customFormat="1" x14ac:dyDescent="0.2">
      <c r="A194" s="17" t="s">
        <v>3921</v>
      </c>
      <c r="B194" s="17" t="s">
        <v>45</v>
      </c>
      <c r="C194" s="17">
        <v>2025</v>
      </c>
      <c r="D194" s="17" t="str">
        <f t="array" ref="D194">_xlfn.SWITCH(E194,"Bagor","35.18.14","Sukomoro",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4" s="16" t="s">
        <v>188</v>
      </c>
      <c r="F194" s="17" t="s">
        <v>187</v>
      </c>
      <c r="G194" s="17" t="s">
        <v>620</v>
      </c>
      <c r="H194" s="16" t="s">
        <v>47</v>
      </c>
      <c r="I194" s="16">
        <v>58</v>
      </c>
      <c r="J194" s="16">
        <v>24</v>
      </c>
      <c r="K194" s="16">
        <f t="shared" si="2"/>
        <v>82</v>
      </c>
      <c r="L194" s="36">
        <v>53200000</v>
      </c>
      <c r="M194" s="17" t="s">
        <v>565</v>
      </c>
      <c r="N194" s="35">
        <v>42</v>
      </c>
      <c r="O194" s="16" t="s">
        <v>83</v>
      </c>
      <c r="P194" s="18">
        <v>131000000</v>
      </c>
      <c r="Q194" s="17" t="s">
        <v>34</v>
      </c>
      <c r="R194" s="35">
        <v>218</v>
      </c>
      <c r="S194" s="16" t="s">
        <v>83</v>
      </c>
      <c r="T194" s="36">
        <v>75100000</v>
      </c>
      <c r="U194" s="20" t="s">
        <v>22</v>
      </c>
      <c r="V194" s="16">
        <v>0</v>
      </c>
      <c r="W194" s="16">
        <v>0</v>
      </c>
      <c r="X194" s="16">
        <v>0</v>
      </c>
      <c r="Y194" s="16">
        <v>35</v>
      </c>
      <c r="Z194" s="16">
        <v>35</v>
      </c>
      <c r="AA194" s="16">
        <v>30</v>
      </c>
      <c r="AB194" s="16">
        <v>0</v>
      </c>
      <c r="AC194" s="16"/>
      <c r="AD194" s="24">
        <v>2002</v>
      </c>
      <c r="AE194" s="23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</row>
    <row r="195" spans="1:84" s="2" customFormat="1" x14ac:dyDescent="0.2">
      <c r="A195" s="17" t="s">
        <v>3921</v>
      </c>
      <c r="B195" s="17" t="s">
        <v>45</v>
      </c>
      <c r="C195" s="17">
        <v>2025</v>
      </c>
      <c r="D195" s="17" t="str">
        <f t="array" ref="D195">_xlfn.SWITCH(E195,"Bagor","35.18.14","Sukomoro",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5" s="16" t="s">
        <v>188</v>
      </c>
      <c r="F195" s="17" t="s">
        <v>621</v>
      </c>
      <c r="G195" s="17" t="s">
        <v>620</v>
      </c>
      <c r="H195" s="16" t="s">
        <v>47</v>
      </c>
      <c r="I195" s="16">
        <v>45</v>
      </c>
      <c r="J195" s="16">
        <v>19</v>
      </c>
      <c r="K195" s="16">
        <f t="shared" ref="K195:K258" si="3">J195+I195</f>
        <v>64</v>
      </c>
      <c r="L195" s="36">
        <v>28800000</v>
      </c>
      <c r="M195" s="17" t="s">
        <v>565</v>
      </c>
      <c r="N195" s="35">
        <v>28</v>
      </c>
      <c r="O195" s="16" t="s">
        <v>83</v>
      </c>
      <c r="P195" s="18">
        <v>87000000</v>
      </c>
      <c r="Q195" s="17" t="s">
        <v>34</v>
      </c>
      <c r="R195" s="35">
        <v>146</v>
      </c>
      <c r="S195" s="16" t="s">
        <v>83</v>
      </c>
      <c r="T195" s="36">
        <v>46700000</v>
      </c>
      <c r="U195" s="20" t="s">
        <v>22</v>
      </c>
      <c r="V195" s="16">
        <v>0</v>
      </c>
      <c r="W195" s="16">
        <v>0</v>
      </c>
      <c r="X195" s="16">
        <v>0</v>
      </c>
      <c r="Y195" s="16">
        <v>35</v>
      </c>
      <c r="Z195" s="16">
        <v>40</v>
      </c>
      <c r="AA195" s="16">
        <v>25</v>
      </c>
      <c r="AB195" s="16">
        <v>0</v>
      </c>
      <c r="AC195" s="16"/>
      <c r="AD195" s="24">
        <v>2002</v>
      </c>
      <c r="AE195" s="23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</row>
    <row r="196" spans="1:84" s="2" customFormat="1" x14ac:dyDescent="0.2">
      <c r="A196" s="17" t="s">
        <v>3921</v>
      </c>
      <c r="B196" s="17" t="s">
        <v>45</v>
      </c>
      <c r="C196" s="17">
        <v>2025</v>
      </c>
      <c r="D196" s="17" t="str">
        <f t="array" ref="D196">_xlfn.SWITCH(E196,"Bagor","35.18.14","Sukomoro",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6" s="16" t="s">
        <v>188</v>
      </c>
      <c r="F196" s="17" t="s">
        <v>187</v>
      </c>
      <c r="G196" s="17" t="s">
        <v>622</v>
      </c>
      <c r="H196" s="16" t="s">
        <v>47</v>
      </c>
      <c r="I196" s="16">
        <v>0</v>
      </c>
      <c r="J196" s="16">
        <v>11</v>
      </c>
      <c r="K196" s="16">
        <f t="shared" si="3"/>
        <v>11</v>
      </c>
      <c r="L196" s="36">
        <v>158500000</v>
      </c>
      <c r="M196" s="17" t="s">
        <v>108</v>
      </c>
      <c r="N196" s="35" t="s">
        <v>623</v>
      </c>
      <c r="O196" s="16" t="s">
        <v>624</v>
      </c>
      <c r="P196" s="18">
        <v>68000000</v>
      </c>
      <c r="Q196" s="17" t="s">
        <v>57</v>
      </c>
      <c r="R196" s="35" t="s">
        <v>625</v>
      </c>
      <c r="S196" s="16" t="s">
        <v>51</v>
      </c>
      <c r="T196" s="36">
        <v>20100000</v>
      </c>
      <c r="U196" s="20" t="s">
        <v>22</v>
      </c>
      <c r="V196" s="16" t="s">
        <v>52</v>
      </c>
      <c r="W196" s="16">
        <v>365</v>
      </c>
      <c r="X196" s="16" t="s">
        <v>53</v>
      </c>
      <c r="Y196" s="16">
        <v>75</v>
      </c>
      <c r="Z196" s="16">
        <v>25</v>
      </c>
      <c r="AA196" s="16">
        <v>0</v>
      </c>
      <c r="AB196" s="16">
        <v>0</v>
      </c>
      <c r="AC196" s="16"/>
      <c r="AD196" s="24">
        <v>2002</v>
      </c>
      <c r="AE196" s="23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</row>
    <row r="197" spans="1:84" s="2" customFormat="1" x14ac:dyDescent="0.2">
      <c r="A197" s="17" t="s">
        <v>3921</v>
      </c>
      <c r="B197" s="17" t="s">
        <v>45</v>
      </c>
      <c r="C197" s="17">
        <v>2025</v>
      </c>
      <c r="D197" s="17" t="str">
        <f t="array" ref="D197">_xlfn.SWITCH(E197,"Bagor","35.18.14","Sukomoro",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7" s="16" t="s">
        <v>188</v>
      </c>
      <c r="F197" s="17" t="s">
        <v>187</v>
      </c>
      <c r="G197" s="17" t="s">
        <v>281</v>
      </c>
      <c r="H197" s="16" t="s">
        <v>47</v>
      </c>
      <c r="I197" s="16">
        <v>0</v>
      </c>
      <c r="J197" s="16">
        <v>10</v>
      </c>
      <c r="K197" s="16">
        <f t="shared" si="3"/>
        <v>10</v>
      </c>
      <c r="L197" s="36">
        <v>147640000</v>
      </c>
      <c r="M197" s="17" t="s">
        <v>108</v>
      </c>
      <c r="N197" s="35" t="s">
        <v>626</v>
      </c>
      <c r="O197" s="16" t="s">
        <v>624</v>
      </c>
      <c r="P197" s="18">
        <v>72530000</v>
      </c>
      <c r="Q197" s="17" t="s">
        <v>57</v>
      </c>
      <c r="R197" s="35">
        <v>35</v>
      </c>
      <c r="S197" s="16" t="s">
        <v>51</v>
      </c>
      <c r="T197" s="36">
        <v>19250000</v>
      </c>
      <c r="U197" s="20" t="s">
        <v>22</v>
      </c>
      <c r="V197" s="16" t="s">
        <v>52</v>
      </c>
      <c r="W197" s="16">
        <v>350</v>
      </c>
      <c r="X197" s="16" t="s">
        <v>53</v>
      </c>
      <c r="Y197" s="16">
        <v>70</v>
      </c>
      <c r="Z197" s="16">
        <v>30</v>
      </c>
      <c r="AA197" s="16">
        <v>0</v>
      </c>
      <c r="AB197" s="16">
        <v>0</v>
      </c>
      <c r="AC197" s="16"/>
      <c r="AD197" s="24">
        <v>2002</v>
      </c>
      <c r="AE197" s="23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</row>
    <row r="198" spans="1:84" s="2" customFormat="1" x14ac:dyDescent="0.2">
      <c r="A198" s="17" t="s">
        <v>3921</v>
      </c>
      <c r="B198" s="17" t="s">
        <v>45</v>
      </c>
      <c r="C198" s="17">
        <v>2025</v>
      </c>
      <c r="D198" s="17" t="str">
        <f t="array" ref="D198">_xlfn.SWITCH(E198,"Bagor","35.18.14","Sukomoro",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8" s="16" t="s">
        <v>188</v>
      </c>
      <c r="F198" s="17" t="s">
        <v>615</v>
      </c>
      <c r="G198" s="17" t="s">
        <v>380</v>
      </c>
      <c r="H198" s="16" t="s">
        <v>47</v>
      </c>
      <c r="I198" s="16">
        <v>0</v>
      </c>
      <c r="J198" s="16">
        <v>15</v>
      </c>
      <c r="K198" s="16">
        <f t="shared" si="3"/>
        <v>15</v>
      </c>
      <c r="L198" s="36">
        <v>27500000</v>
      </c>
      <c r="M198" s="17" t="s">
        <v>617</v>
      </c>
      <c r="N198" s="35">
        <v>25</v>
      </c>
      <c r="O198" s="16" t="s">
        <v>51</v>
      </c>
      <c r="P198" s="18">
        <v>37590000</v>
      </c>
      <c r="Q198" s="17" t="s">
        <v>57</v>
      </c>
      <c r="R198" s="35">
        <v>30</v>
      </c>
      <c r="S198" s="16" t="s">
        <v>51</v>
      </c>
      <c r="T198" s="36">
        <v>18150000</v>
      </c>
      <c r="U198" s="20" t="s">
        <v>22</v>
      </c>
      <c r="V198" s="16" t="s">
        <v>52</v>
      </c>
      <c r="W198" s="16">
        <v>300</v>
      </c>
      <c r="X198" s="16" t="s">
        <v>53</v>
      </c>
      <c r="Y198" s="16">
        <v>80</v>
      </c>
      <c r="Z198" s="16">
        <v>20</v>
      </c>
      <c r="AA198" s="16">
        <v>0</v>
      </c>
      <c r="AB198" s="16">
        <v>0</v>
      </c>
      <c r="AC198" s="16"/>
      <c r="AD198" s="24">
        <v>2002</v>
      </c>
      <c r="AE198" s="23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</row>
    <row r="199" spans="1:84" s="2" customFormat="1" x14ac:dyDescent="0.2">
      <c r="A199" s="17" t="s">
        <v>3921</v>
      </c>
      <c r="B199" s="17" t="s">
        <v>45</v>
      </c>
      <c r="C199" s="17">
        <v>2025</v>
      </c>
      <c r="D199" s="17" t="str">
        <f t="array" ref="D199">_xlfn.SWITCH(E199,"Bagor","35.18.14","Sukomoro",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9" s="16" t="s">
        <v>188</v>
      </c>
      <c r="F199" s="17" t="s">
        <v>615</v>
      </c>
      <c r="G199" s="17" t="s">
        <v>627</v>
      </c>
      <c r="H199" s="16" t="s">
        <v>31</v>
      </c>
      <c r="I199" s="16">
        <v>4</v>
      </c>
      <c r="J199" s="16">
        <v>2</v>
      </c>
      <c r="K199" s="16">
        <f t="shared" si="3"/>
        <v>6</v>
      </c>
      <c r="L199" s="36">
        <v>10000000</v>
      </c>
      <c r="M199" s="17" t="s">
        <v>172</v>
      </c>
      <c r="N199" s="35">
        <v>25</v>
      </c>
      <c r="O199" s="16" t="s">
        <v>83</v>
      </c>
      <c r="P199" s="18">
        <v>42750000</v>
      </c>
      <c r="Q199" s="17" t="s">
        <v>173</v>
      </c>
      <c r="R199" s="35">
        <v>10</v>
      </c>
      <c r="S199" s="16" t="s">
        <v>83</v>
      </c>
      <c r="T199" s="36">
        <v>21250000</v>
      </c>
      <c r="U199" s="20" t="s">
        <v>22</v>
      </c>
      <c r="V199" s="16" t="s">
        <v>50</v>
      </c>
      <c r="W199" s="16">
        <v>85</v>
      </c>
      <c r="X199" s="16" t="s">
        <v>51</v>
      </c>
      <c r="Y199" s="16">
        <v>100</v>
      </c>
      <c r="Z199" s="16">
        <v>0</v>
      </c>
      <c r="AA199" s="16">
        <v>0</v>
      </c>
      <c r="AB199" s="16">
        <v>0</v>
      </c>
      <c r="AC199" s="16"/>
      <c r="AD199" s="24">
        <v>2002</v>
      </c>
      <c r="AE199" s="23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</row>
    <row r="200" spans="1:84" s="2" customFormat="1" x14ac:dyDescent="0.2">
      <c r="A200" s="17" t="s">
        <v>3921</v>
      </c>
      <c r="B200" s="17" t="s">
        <v>45</v>
      </c>
      <c r="C200" s="17">
        <v>2025</v>
      </c>
      <c r="D200" s="17" t="str">
        <f t="array" ref="D200">_xlfn.SWITCH(E200,"Bagor","35.18.14","Sukomoro",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200" s="16" t="s">
        <v>188</v>
      </c>
      <c r="F200" s="17" t="s">
        <v>187</v>
      </c>
      <c r="G200" s="17" t="s">
        <v>628</v>
      </c>
      <c r="H200" s="16" t="s">
        <v>31</v>
      </c>
      <c r="I200" s="16">
        <v>5</v>
      </c>
      <c r="J200" s="16">
        <v>2</v>
      </c>
      <c r="K200" s="16">
        <f t="shared" si="3"/>
        <v>7</v>
      </c>
      <c r="L200" s="36">
        <v>15000000</v>
      </c>
      <c r="M200" s="17" t="s">
        <v>172</v>
      </c>
      <c r="N200" s="35">
        <v>35</v>
      </c>
      <c r="O200" s="16" t="s">
        <v>83</v>
      </c>
      <c r="P200" s="18">
        <v>61250000</v>
      </c>
      <c r="Q200" s="17" t="s">
        <v>173</v>
      </c>
      <c r="R200" s="48">
        <v>14</v>
      </c>
      <c r="S200" s="16" t="s">
        <v>83</v>
      </c>
      <c r="T200" s="36">
        <v>30000000</v>
      </c>
      <c r="U200" s="20" t="s">
        <v>22</v>
      </c>
      <c r="V200" s="16" t="s">
        <v>50</v>
      </c>
      <c r="W200" s="16">
        <v>120</v>
      </c>
      <c r="X200" s="16" t="s">
        <v>51</v>
      </c>
      <c r="Y200" s="16">
        <v>100</v>
      </c>
      <c r="Z200" s="16">
        <v>0</v>
      </c>
      <c r="AA200" s="16">
        <v>0</v>
      </c>
      <c r="AB200" s="16">
        <v>0</v>
      </c>
      <c r="AC200" s="16"/>
      <c r="AD200" s="24">
        <v>2002</v>
      </c>
      <c r="AE200" s="23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</row>
    <row r="201" spans="1:84" s="2" customFormat="1" x14ac:dyDescent="0.2">
      <c r="A201" s="17" t="s">
        <v>3921</v>
      </c>
      <c r="B201" s="17" t="s">
        <v>45</v>
      </c>
      <c r="C201" s="17">
        <v>2025</v>
      </c>
      <c r="D201" s="17" t="str">
        <f t="array" ref="D201">_xlfn.SWITCH(E201,"Bagor","35.18.14","Sukomoro",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201" s="16" t="s">
        <v>188</v>
      </c>
      <c r="F201" s="17" t="s">
        <v>618</v>
      </c>
      <c r="G201" s="17" t="s">
        <v>629</v>
      </c>
      <c r="H201" s="16" t="s">
        <v>31</v>
      </c>
      <c r="I201" s="16">
        <v>3</v>
      </c>
      <c r="J201" s="16">
        <v>18</v>
      </c>
      <c r="K201" s="16">
        <f t="shared" si="3"/>
        <v>21</v>
      </c>
      <c r="L201" s="36">
        <v>15500000</v>
      </c>
      <c r="M201" s="17" t="s">
        <v>180</v>
      </c>
      <c r="N201" s="35">
        <v>12</v>
      </c>
      <c r="O201" s="16" t="s">
        <v>83</v>
      </c>
      <c r="P201" s="18">
        <v>57600000</v>
      </c>
      <c r="Q201" s="17" t="s">
        <v>159</v>
      </c>
      <c r="R201" s="35" t="s">
        <v>630</v>
      </c>
      <c r="S201" s="16" t="s">
        <v>83</v>
      </c>
      <c r="T201" s="36">
        <v>31250000</v>
      </c>
      <c r="U201" s="20" t="s">
        <v>22</v>
      </c>
      <c r="V201" s="16" t="s">
        <v>50</v>
      </c>
      <c r="W201" s="16">
        <v>125</v>
      </c>
      <c r="X201" s="16" t="s">
        <v>51</v>
      </c>
      <c r="Y201" s="16">
        <v>70</v>
      </c>
      <c r="Z201" s="16">
        <v>30</v>
      </c>
      <c r="AA201" s="16">
        <v>0</v>
      </c>
      <c r="AB201" s="16">
        <v>0</v>
      </c>
      <c r="AC201" s="16"/>
      <c r="AD201" s="24">
        <v>2002</v>
      </c>
      <c r="AE201" s="23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</row>
    <row r="202" spans="1:84" s="2" customFormat="1" x14ac:dyDescent="0.2">
      <c r="A202" s="17" t="s">
        <v>3921</v>
      </c>
      <c r="B202" s="17" t="s">
        <v>45</v>
      </c>
      <c r="C202" s="17">
        <v>2025</v>
      </c>
      <c r="D202" s="17" t="str">
        <f t="array" ref="D202">_xlfn.SWITCH(E202,"Bagor","35.18.14","Sukomoro",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202" s="16" t="s">
        <v>188</v>
      </c>
      <c r="F202" s="17" t="s">
        <v>615</v>
      </c>
      <c r="G202" s="17" t="s">
        <v>631</v>
      </c>
      <c r="H202" s="16" t="s">
        <v>31</v>
      </c>
      <c r="I202" s="16">
        <v>3</v>
      </c>
      <c r="J202" s="16">
        <v>17</v>
      </c>
      <c r="K202" s="16">
        <f t="shared" si="3"/>
        <v>20</v>
      </c>
      <c r="L202" s="36">
        <v>15500000</v>
      </c>
      <c r="M202" s="17" t="s">
        <v>180</v>
      </c>
      <c r="N202" s="35">
        <v>12</v>
      </c>
      <c r="O202" s="16" t="s">
        <v>83</v>
      </c>
      <c r="P202" s="18">
        <v>57600000</v>
      </c>
      <c r="Q202" s="17" t="s">
        <v>159</v>
      </c>
      <c r="R202" s="35" t="s">
        <v>630</v>
      </c>
      <c r="S202" s="16" t="s">
        <v>83</v>
      </c>
      <c r="T202" s="36">
        <v>31250000</v>
      </c>
      <c r="U202" s="20" t="s">
        <v>22</v>
      </c>
      <c r="V202" s="16" t="s">
        <v>50</v>
      </c>
      <c r="W202" s="16">
        <v>125</v>
      </c>
      <c r="X202" s="16" t="s">
        <v>51</v>
      </c>
      <c r="Y202" s="16">
        <v>60</v>
      </c>
      <c r="Z202" s="16">
        <v>40</v>
      </c>
      <c r="AA202" s="16">
        <v>0</v>
      </c>
      <c r="AB202" s="16">
        <v>0</v>
      </c>
      <c r="AC202" s="16"/>
      <c r="AD202" s="24">
        <v>2002</v>
      </c>
      <c r="AE202" s="23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</row>
    <row r="203" spans="1:84" s="2" customFormat="1" x14ac:dyDescent="0.2">
      <c r="A203" s="17" t="s">
        <v>3921</v>
      </c>
      <c r="B203" s="17" t="s">
        <v>45</v>
      </c>
      <c r="C203" s="17">
        <v>2025</v>
      </c>
      <c r="D203" s="17" t="str">
        <f t="array" ref="D203">_xlfn.SWITCH(E203,"Bagor","35.18.14","Sukomoro",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203" s="16" t="s">
        <v>188</v>
      </c>
      <c r="F203" s="17" t="s">
        <v>632</v>
      </c>
      <c r="G203" s="17" t="s">
        <v>602</v>
      </c>
      <c r="H203" s="16" t="s">
        <v>47</v>
      </c>
      <c r="I203" s="16">
        <v>1</v>
      </c>
      <c r="J203" s="16">
        <v>4</v>
      </c>
      <c r="K203" s="16">
        <f t="shared" si="3"/>
        <v>5</v>
      </c>
      <c r="L203" s="36">
        <v>123500000</v>
      </c>
      <c r="M203" s="17" t="s">
        <v>108</v>
      </c>
      <c r="N203" s="35">
        <v>70</v>
      </c>
      <c r="O203" s="16" t="s">
        <v>633</v>
      </c>
      <c r="P203" s="18">
        <v>36200000</v>
      </c>
      <c r="Q203" s="17" t="s">
        <v>57</v>
      </c>
      <c r="R203" s="35">
        <v>28</v>
      </c>
      <c r="S203" s="16" t="s">
        <v>51</v>
      </c>
      <c r="T203" s="36">
        <v>17800000</v>
      </c>
      <c r="U203" s="20" t="s">
        <v>22</v>
      </c>
      <c r="V203" s="16" t="s">
        <v>52</v>
      </c>
      <c r="W203" s="16">
        <v>280</v>
      </c>
      <c r="X203" s="16" t="s">
        <v>53</v>
      </c>
      <c r="Y203" s="16">
        <v>70</v>
      </c>
      <c r="Z203" s="16">
        <v>30</v>
      </c>
      <c r="AA203" s="16">
        <v>0</v>
      </c>
      <c r="AB203" s="16">
        <v>0</v>
      </c>
      <c r="AC203" s="16"/>
      <c r="AD203" s="24">
        <v>2002</v>
      </c>
      <c r="AE203" s="23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</row>
    <row r="204" spans="1:84" s="2" customFormat="1" x14ac:dyDescent="0.2">
      <c r="A204" s="17" t="s">
        <v>3921</v>
      </c>
      <c r="B204" s="17" t="s">
        <v>45</v>
      </c>
      <c r="C204" s="17">
        <v>2025</v>
      </c>
      <c r="D204" s="17" t="str">
        <f t="array" ref="D204">_xlfn.SWITCH(E204,"Bagor","35.18.14","Sukomoro",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204" s="16" t="s">
        <v>188</v>
      </c>
      <c r="F204" s="17" t="s">
        <v>634</v>
      </c>
      <c r="G204" s="17" t="s">
        <v>635</v>
      </c>
      <c r="H204" s="16" t="s">
        <v>47</v>
      </c>
      <c r="I204" s="16">
        <v>1</v>
      </c>
      <c r="J204" s="16">
        <v>5</v>
      </c>
      <c r="K204" s="16">
        <f t="shared" si="3"/>
        <v>6</v>
      </c>
      <c r="L204" s="36">
        <v>133300000</v>
      </c>
      <c r="M204" s="17" t="s">
        <v>108</v>
      </c>
      <c r="N204" s="35">
        <v>50</v>
      </c>
      <c r="O204" s="16" t="s">
        <v>211</v>
      </c>
      <c r="P204" s="18">
        <v>27000000</v>
      </c>
      <c r="Q204" s="17" t="s">
        <v>57</v>
      </c>
      <c r="R204" s="35">
        <v>21</v>
      </c>
      <c r="S204" s="16" t="s">
        <v>51</v>
      </c>
      <c r="T204" s="36">
        <v>14000000</v>
      </c>
      <c r="U204" s="20" t="s">
        <v>22</v>
      </c>
      <c r="V204" s="16" t="s">
        <v>52</v>
      </c>
      <c r="W204" s="16">
        <v>210</v>
      </c>
      <c r="X204" s="16" t="s">
        <v>53</v>
      </c>
      <c r="Y204" s="16">
        <v>60</v>
      </c>
      <c r="Z204" s="16">
        <v>40</v>
      </c>
      <c r="AA204" s="16">
        <v>0</v>
      </c>
      <c r="AB204" s="16">
        <v>0</v>
      </c>
      <c r="AC204" s="16"/>
      <c r="AD204" s="24">
        <v>2002</v>
      </c>
      <c r="AE204" s="23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</row>
    <row r="205" spans="1:84" s="2" customFormat="1" x14ac:dyDescent="0.2">
      <c r="A205" s="17" t="s">
        <v>3921</v>
      </c>
      <c r="B205" s="17" t="s">
        <v>45</v>
      </c>
      <c r="C205" s="17">
        <v>2025</v>
      </c>
      <c r="D205" s="17" t="str">
        <f t="array" ref="D205">_xlfn.SWITCH(E205,"Jatikalen","35.18.20","Kertosono", "35.18.08","Lengkong","35.18.19","Loceret","35.18.04","Tanjunganom","35.18.11","Wilangan","35.18.15")</f>
        <v>35.18.08</v>
      </c>
      <c r="E205" s="16" t="s">
        <v>128</v>
      </c>
      <c r="F205" s="17" t="s">
        <v>636</v>
      </c>
      <c r="G205" s="17" t="s">
        <v>637</v>
      </c>
      <c r="H205" s="16" t="s">
        <v>31</v>
      </c>
      <c r="I205" s="16">
        <v>5</v>
      </c>
      <c r="J205" s="16">
        <v>1</v>
      </c>
      <c r="K205" s="16">
        <f t="shared" si="3"/>
        <v>6</v>
      </c>
      <c r="L205" s="36">
        <v>7500000</v>
      </c>
      <c r="M205" s="17" t="s">
        <v>638</v>
      </c>
      <c r="N205" s="36">
        <v>38</v>
      </c>
      <c r="O205" s="16" t="s">
        <v>83</v>
      </c>
      <c r="P205" s="18">
        <v>63700000</v>
      </c>
      <c r="Q205" s="17" t="s">
        <v>173</v>
      </c>
      <c r="R205" s="35">
        <v>13</v>
      </c>
      <c r="S205" s="16" t="s">
        <v>83</v>
      </c>
      <c r="T205" s="36">
        <v>32500000</v>
      </c>
      <c r="U205" s="20" t="s">
        <v>22</v>
      </c>
      <c r="V205" s="16" t="s">
        <v>50</v>
      </c>
      <c r="W205" s="16">
        <v>130</v>
      </c>
      <c r="X205" s="16" t="s">
        <v>51</v>
      </c>
      <c r="Y205" s="16">
        <v>100</v>
      </c>
      <c r="Z205" s="16">
        <v>0</v>
      </c>
      <c r="AA205" s="16">
        <v>0</v>
      </c>
      <c r="AB205" s="16">
        <v>0</v>
      </c>
      <c r="AC205" s="16"/>
      <c r="AD205" s="24">
        <v>2002</v>
      </c>
      <c r="AE205" s="23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</row>
    <row r="206" spans="1:84" s="2" customFormat="1" x14ac:dyDescent="0.2">
      <c r="A206" s="17" t="s">
        <v>3921</v>
      </c>
      <c r="B206" s="17" t="s">
        <v>45</v>
      </c>
      <c r="C206" s="17">
        <v>2025</v>
      </c>
      <c r="D206" s="17" t="str">
        <f t="array" ref="D206">_xlfn.SWITCH(E206,"Jatikalen","35.18.20","Kertosono", "35.18.08","Lengkong","35.18.19","Loceret","35.18.04","Tanjunganom","35.18.11","Wilangan","35.18.15")</f>
        <v>35.18.08</v>
      </c>
      <c r="E206" s="16" t="s">
        <v>128</v>
      </c>
      <c r="F206" s="17" t="s">
        <v>639</v>
      </c>
      <c r="G206" s="17" t="s">
        <v>640</v>
      </c>
      <c r="H206" s="16" t="s">
        <v>31</v>
      </c>
      <c r="I206" s="16">
        <v>9</v>
      </c>
      <c r="J206" s="16">
        <v>13</v>
      </c>
      <c r="K206" s="16">
        <f t="shared" si="3"/>
        <v>22</v>
      </c>
      <c r="L206" s="36">
        <v>27500000</v>
      </c>
      <c r="M206" s="17" t="s">
        <v>641</v>
      </c>
      <c r="N206" s="36">
        <v>1950</v>
      </c>
      <c r="O206" s="16" t="s">
        <v>35</v>
      </c>
      <c r="P206" s="18">
        <v>23000000</v>
      </c>
      <c r="Q206" s="49" t="s">
        <v>642</v>
      </c>
      <c r="R206" s="35">
        <v>4150</v>
      </c>
      <c r="S206" s="16" t="s">
        <v>35</v>
      </c>
      <c r="T206" s="36">
        <v>11540000</v>
      </c>
      <c r="U206" s="20" t="s">
        <v>22</v>
      </c>
      <c r="V206" s="16">
        <v>0</v>
      </c>
      <c r="W206" s="16">
        <v>0</v>
      </c>
      <c r="X206" s="16">
        <v>0</v>
      </c>
      <c r="Y206" s="16">
        <v>55</v>
      </c>
      <c r="Z206" s="16">
        <v>45</v>
      </c>
      <c r="AA206" s="16">
        <v>0</v>
      </c>
      <c r="AB206" s="16">
        <v>0</v>
      </c>
      <c r="AC206" s="16"/>
      <c r="AD206" s="24">
        <v>2002</v>
      </c>
      <c r="AE206" s="23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</row>
    <row r="207" spans="1:84" s="2" customFormat="1" x14ac:dyDescent="0.2">
      <c r="A207" s="17" t="s">
        <v>3921</v>
      </c>
      <c r="B207" s="17" t="s">
        <v>45</v>
      </c>
      <c r="C207" s="17">
        <v>2025</v>
      </c>
      <c r="D207" s="17" t="str">
        <f t="array" ref="D207">_xlfn.SWITCH(E207,"Jatikalen","35.18.20","Kertosono", "35.18.08","Lengkong","35.18.19","Loceret","35.18.04","Tanjunganom","35.18.11","Wilangan","35.18.15")</f>
        <v>35.18.08</v>
      </c>
      <c r="E207" s="16" t="s">
        <v>128</v>
      </c>
      <c r="F207" s="17" t="s">
        <v>643</v>
      </c>
      <c r="G207" s="17" t="s">
        <v>644</v>
      </c>
      <c r="H207" s="16" t="s">
        <v>47</v>
      </c>
      <c r="I207" s="16">
        <v>0</v>
      </c>
      <c r="J207" s="16">
        <v>11</v>
      </c>
      <c r="K207" s="16">
        <f t="shared" si="3"/>
        <v>11</v>
      </c>
      <c r="L207" s="36">
        <v>125000000</v>
      </c>
      <c r="M207" s="17" t="s">
        <v>48</v>
      </c>
      <c r="N207" s="36">
        <v>45</v>
      </c>
      <c r="O207" s="16" t="s">
        <v>211</v>
      </c>
      <c r="P207" s="18">
        <v>16110000</v>
      </c>
      <c r="Q207" s="17" t="s">
        <v>57</v>
      </c>
      <c r="R207" s="35">
        <v>15</v>
      </c>
      <c r="S207" s="16" t="s">
        <v>51</v>
      </c>
      <c r="T207" s="36">
        <v>9000000</v>
      </c>
      <c r="U207" s="20" t="s">
        <v>22</v>
      </c>
      <c r="V207" s="16" t="s">
        <v>52</v>
      </c>
      <c r="W207" s="16">
        <v>150</v>
      </c>
      <c r="X207" s="16" t="s">
        <v>53</v>
      </c>
      <c r="Y207" s="16">
        <v>65</v>
      </c>
      <c r="Z207" s="16">
        <v>35</v>
      </c>
      <c r="AA207" s="16">
        <v>0</v>
      </c>
      <c r="AB207" s="16">
        <v>0</v>
      </c>
      <c r="AC207" s="16"/>
      <c r="AD207" s="24">
        <v>2002</v>
      </c>
      <c r="AE207" s="23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</row>
    <row r="208" spans="1:84" s="2" customFormat="1" x14ac:dyDescent="0.2">
      <c r="A208" s="17" t="s">
        <v>3921</v>
      </c>
      <c r="B208" s="17" t="s">
        <v>45</v>
      </c>
      <c r="C208" s="17">
        <v>2025</v>
      </c>
      <c r="D208" s="17" t="str">
        <f t="array" ref="D208">_xlfn.SWITCH(E208,"Jatikalen","35.18.20","Kertosono", "35.18.08","Lengkong","35.18.19","Loceret","35.18.04","Tanjunganom","35.18.11","Wilangan","35.18.15")</f>
        <v>35.18.08</v>
      </c>
      <c r="E208" s="16" t="s">
        <v>128</v>
      </c>
      <c r="F208" s="17" t="s">
        <v>645</v>
      </c>
      <c r="G208" s="17" t="s">
        <v>646</v>
      </c>
      <c r="H208" s="16" t="s">
        <v>47</v>
      </c>
      <c r="I208" s="16">
        <v>5</v>
      </c>
      <c r="J208" s="16">
        <v>2</v>
      </c>
      <c r="K208" s="16">
        <f t="shared" si="3"/>
        <v>7</v>
      </c>
      <c r="L208" s="36">
        <v>7500000</v>
      </c>
      <c r="M208" s="17" t="s">
        <v>406</v>
      </c>
      <c r="N208" s="36">
        <v>300</v>
      </c>
      <c r="O208" s="16" t="s">
        <v>35</v>
      </c>
      <c r="P208" s="18">
        <v>4700000</v>
      </c>
      <c r="Q208" s="17" t="s">
        <v>153</v>
      </c>
      <c r="R208" s="35" t="s">
        <v>647</v>
      </c>
      <c r="S208" s="16" t="s">
        <v>35</v>
      </c>
      <c r="T208" s="36">
        <v>2050000</v>
      </c>
      <c r="U208" s="20" t="s">
        <v>22</v>
      </c>
      <c r="V208" s="16" t="s">
        <v>438</v>
      </c>
      <c r="W208" s="16">
        <v>300</v>
      </c>
      <c r="X208" s="16" t="s">
        <v>53</v>
      </c>
      <c r="Y208" s="16">
        <v>90</v>
      </c>
      <c r="Z208" s="16">
        <v>10</v>
      </c>
      <c r="AA208" s="16">
        <v>0</v>
      </c>
      <c r="AB208" s="16">
        <v>0</v>
      </c>
      <c r="AC208" s="16"/>
      <c r="AD208" s="24">
        <v>2002</v>
      </c>
      <c r="AE208" s="23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</row>
    <row r="209" spans="1:84" s="2" customFormat="1" x14ac:dyDescent="0.2">
      <c r="A209" s="17" t="s">
        <v>3921</v>
      </c>
      <c r="B209" s="17" t="s">
        <v>45</v>
      </c>
      <c r="C209" s="17">
        <v>2025</v>
      </c>
      <c r="D209" s="17" t="str">
        <f t="array" ref="D209">_xlfn.SWITCH(E209,"Jatikalen","35.18.20","Kertosono", "35.18.08","Lengkong","35.18.19","Loceret","35.18.04","Tanjunganom","35.18.11","Wilangan","35.18.15")</f>
        <v>35.18.08</v>
      </c>
      <c r="E209" s="16" t="s">
        <v>128</v>
      </c>
      <c r="F209" s="17" t="s">
        <v>648</v>
      </c>
      <c r="G209" s="17" t="s">
        <v>649</v>
      </c>
      <c r="H209" s="16" t="s">
        <v>47</v>
      </c>
      <c r="I209" s="16">
        <v>16</v>
      </c>
      <c r="J209" s="16">
        <v>5</v>
      </c>
      <c r="K209" s="16">
        <f t="shared" si="3"/>
        <v>21</v>
      </c>
      <c r="L209" s="36">
        <v>7500000</v>
      </c>
      <c r="M209" s="17" t="s">
        <v>180</v>
      </c>
      <c r="N209" s="36" t="s">
        <v>650</v>
      </c>
      <c r="O209" s="16" t="s">
        <v>83</v>
      </c>
      <c r="P209" s="18">
        <v>34500000</v>
      </c>
      <c r="Q209" s="17" t="s">
        <v>159</v>
      </c>
      <c r="R209" s="35" t="s">
        <v>651</v>
      </c>
      <c r="S209" s="16" t="s">
        <v>83</v>
      </c>
      <c r="T209" s="36">
        <v>20520000</v>
      </c>
      <c r="U209" s="20" t="s">
        <v>22</v>
      </c>
      <c r="V209" s="16" t="s">
        <v>50</v>
      </c>
      <c r="W209" s="16">
        <v>280</v>
      </c>
      <c r="X209" s="16" t="s">
        <v>51</v>
      </c>
      <c r="Y209" s="16">
        <v>60</v>
      </c>
      <c r="Z209" s="16">
        <v>40</v>
      </c>
      <c r="AA209" s="16">
        <v>0</v>
      </c>
      <c r="AB209" s="16">
        <v>0</v>
      </c>
      <c r="AC209" s="16"/>
      <c r="AD209" s="24">
        <v>2002</v>
      </c>
      <c r="AE209" s="23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</row>
    <row r="210" spans="1:84" s="2" customFormat="1" x14ac:dyDescent="0.2">
      <c r="A210" s="17" t="s">
        <v>3921</v>
      </c>
      <c r="B210" s="17" t="s">
        <v>45</v>
      </c>
      <c r="C210" s="17">
        <v>2025</v>
      </c>
      <c r="D210" s="17" t="str">
        <f t="array" ref="D210">_xlfn.SWITCH(E210,"Jatikalen","35.18.20","Kertosono", "35.18.08","Lengkong","35.18.19","Loceret","35.18.04","Tanjunganom","35.18.11","Wilangan","35.18.15")</f>
        <v>35.18.08</v>
      </c>
      <c r="E210" s="16" t="s">
        <v>128</v>
      </c>
      <c r="F210" s="17" t="s">
        <v>652</v>
      </c>
      <c r="G210" s="17" t="s">
        <v>653</v>
      </c>
      <c r="H210" s="16" t="s">
        <v>47</v>
      </c>
      <c r="I210" s="16">
        <v>18</v>
      </c>
      <c r="J210" s="16">
        <v>3</v>
      </c>
      <c r="K210" s="16">
        <f t="shared" si="3"/>
        <v>21</v>
      </c>
      <c r="L210" s="36">
        <v>5000000</v>
      </c>
      <c r="M210" s="17" t="s">
        <v>180</v>
      </c>
      <c r="N210" s="36" t="s">
        <v>654</v>
      </c>
      <c r="O210" s="16" t="s">
        <v>83</v>
      </c>
      <c r="P210" s="18">
        <v>23125000</v>
      </c>
      <c r="Q210" s="17" t="s">
        <v>159</v>
      </c>
      <c r="R210" s="35">
        <v>19</v>
      </c>
      <c r="S210" s="16" t="s">
        <v>83</v>
      </c>
      <c r="T210" s="36">
        <v>13680000</v>
      </c>
      <c r="U210" s="20" t="s">
        <v>22</v>
      </c>
      <c r="V210" s="16" t="s">
        <v>50</v>
      </c>
      <c r="W210" s="16">
        <v>190</v>
      </c>
      <c r="X210" s="16" t="s">
        <v>51</v>
      </c>
      <c r="Y210" s="16">
        <v>60</v>
      </c>
      <c r="Z210" s="16">
        <v>40</v>
      </c>
      <c r="AA210" s="16">
        <v>0</v>
      </c>
      <c r="AB210" s="16">
        <v>0</v>
      </c>
      <c r="AC210" s="16"/>
      <c r="AD210" s="24">
        <v>2002</v>
      </c>
      <c r="AE210" s="23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</row>
    <row r="211" spans="1:84" s="2" customFormat="1" x14ac:dyDescent="0.2">
      <c r="A211" s="17" t="s">
        <v>3921</v>
      </c>
      <c r="B211" s="17" t="s">
        <v>45</v>
      </c>
      <c r="C211" s="17">
        <v>2025</v>
      </c>
      <c r="D211" s="17" t="str">
        <f t="array" ref="D211">_xlfn.SWITCH(E211,"Jatikalen","35.18.20","Kertosono", "35.18.08","Lengkong","35.18.19","Loceret","35.18.04","Tanjunganom","35.18.11","Wilangan","35.18.15")</f>
        <v>35.18.08</v>
      </c>
      <c r="E211" s="16" t="s">
        <v>128</v>
      </c>
      <c r="F211" s="17" t="s">
        <v>312</v>
      </c>
      <c r="G211" s="17" t="s">
        <v>655</v>
      </c>
      <c r="H211" s="16" t="s">
        <v>31</v>
      </c>
      <c r="I211" s="16">
        <v>0</v>
      </c>
      <c r="J211" s="16">
        <v>11</v>
      </c>
      <c r="K211" s="16">
        <f t="shared" si="3"/>
        <v>11</v>
      </c>
      <c r="L211" s="36">
        <v>28000000</v>
      </c>
      <c r="M211" s="17" t="s">
        <v>603</v>
      </c>
      <c r="N211" s="36">
        <v>30</v>
      </c>
      <c r="O211" s="16" t="s">
        <v>51</v>
      </c>
      <c r="P211" s="18">
        <v>39800000</v>
      </c>
      <c r="Q211" s="17" t="s">
        <v>57</v>
      </c>
      <c r="R211" s="35">
        <v>35</v>
      </c>
      <c r="S211" s="16" t="s">
        <v>51</v>
      </c>
      <c r="T211" s="36">
        <v>15780000</v>
      </c>
      <c r="U211" s="20" t="s">
        <v>22</v>
      </c>
      <c r="V211" s="16" t="s">
        <v>52</v>
      </c>
      <c r="W211" s="16">
        <v>350</v>
      </c>
      <c r="X211" s="16" t="s">
        <v>53</v>
      </c>
      <c r="Y211" s="16">
        <v>80</v>
      </c>
      <c r="Z211" s="16">
        <v>20</v>
      </c>
      <c r="AA211" s="16">
        <v>0</v>
      </c>
      <c r="AB211" s="16">
        <v>0</v>
      </c>
      <c r="AC211" s="16"/>
      <c r="AD211" s="24">
        <v>2002</v>
      </c>
      <c r="AE211" s="23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</row>
    <row r="212" spans="1:84" s="2" customFormat="1" x14ac:dyDescent="0.2">
      <c r="A212" s="17" t="s">
        <v>3921</v>
      </c>
      <c r="B212" s="17" t="s">
        <v>45</v>
      </c>
      <c r="C212" s="17">
        <v>2025</v>
      </c>
      <c r="D212" s="17" t="str">
        <f t="array" ref="D212">_xlfn.SWITCH(E212,"Jatikalen","35.18.20","Kertosono", "35.18.08","Lengkong","35.18.19","Loceret","35.18.04","Tanjunganom","35.18.11","Wilangan","35.18.15")</f>
        <v>35.18.08</v>
      </c>
      <c r="E212" s="16" t="s">
        <v>128</v>
      </c>
      <c r="F212" s="17" t="s">
        <v>656</v>
      </c>
      <c r="G212" s="17" t="s">
        <v>657</v>
      </c>
      <c r="H212" s="16" t="s">
        <v>47</v>
      </c>
      <c r="I212" s="16">
        <v>19</v>
      </c>
      <c r="J212" s="16">
        <v>9</v>
      </c>
      <c r="K212" s="16">
        <f t="shared" si="3"/>
        <v>28</v>
      </c>
      <c r="L212" s="36">
        <v>23000000</v>
      </c>
      <c r="M212" s="17" t="s">
        <v>658</v>
      </c>
      <c r="N212" s="36">
        <v>200000</v>
      </c>
      <c r="O212" s="16" t="s">
        <v>49</v>
      </c>
      <c r="P212" s="18">
        <v>525000000</v>
      </c>
      <c r="Q212" s="17" t="s">
        <v>659</v>
      </c>
      <c r="R212" s="35">
        <v>55400</v>
      </c>
      <c r="S212" s="16" t="s">
        <v>229</v>
      </c>
      <c r="T212" s="36">
        <v>255000000</v>
      </c>
      <c r="U212" s="20" t="s">
        <v>22</v>
      </c>
      <c r="V212" s="16">
        <v>0</v>
      </c>
      <c r="W212" s="16">
        <v>0</v>
      </c>
      <c r="X212" s="16">
        <v>0</v>
      </c>
      <c r="Y212" s="16">
        <v>55</v>
      </c>
      <c r="Z212" s="16">
        <v>45</v>
      </c>
      <c r="AA212" s="16">
        <v>0</v>
      </c>
      <c r="AB212" s="16">
        <v>0</v>
      </c>
      <c r="AC212" s="16"/>
      <c r="AD212" s="24">
        <v>2002</v>
      </c>
      <c r="AE212" s="23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</row>
    <row r="213" spans="1:84" s="2" customFormat="1" x14ac:dyDescent="0.2">
      <c r="A213" s="17" t="s">
        <v>3921</v>
      </c>
      <c r="B213" s="17" t="s">
        <v>45</v>
      </c>
      <c r="C213" s="17">
        <v>2025</v>
      </c>
      <c r="D213" s="17" t="str">
        <f t="array" ref="D213">_xlfn.SWITCH(E213,"Jatikalen","35.18.20","Kertosono", "35.18.08","Lengkong","35.18.19","Loceret","35.18.04","Tanjunganom","35.18.11","Wilangan","35.18.15")</f>
        <v>35.18.08</v>
      </c>
      <c r="E213" s="16" t="s">
        <v>128</v>
      </c>
      <c r="F213" s="17" t="s">
        <v>660</v>
      </c>
      <c r="G213" s="17" t="s">
        <v>661</v>
      </c>
      <c r="H213" s="16" t="s">
        <v>31</v>
      </c>
      <c r="I213" s="16">
        <v>3</v>
      </c>
      <c r="J213" s="16">
        <v>5</v>
      </c>
      <c r="K213" s="16">
        <f t="shared" si="3"/>
        <v>8</v>
      </c>
      <c r="L213" s="36">
        <v>150000000</v>
      </c>
      <c r="M213" s="17" t="s">
        <v>444</v>
      </c>
      <c r="N213" s="36">
        <v>1750</v>
      </c>
      <c r="O213" s="16" t="s">
        <v>447</v>
      </c>
      <c r="P213" s="18">
        <v>262500000</v>
      </c>
      <c r="Q213" s="17" t="s">
        <v>446</v>
      </c>
      <c r="R213" s="35">
        <v>1800</v>
      </c>
      <c r="S213" s="16" t="s">
        <v>447</v>
      </c>
      <c r="T213" s="36">
        <v>125200000</v>
      </c>
      <c r="U213" s="20" t="s">
        <v>22</v>
      </c>
      <c r="V213" s="16">
        <v>0</v>
      </c>
      <c r="W213" s="16">
        <v>0</v>
      </c>
      <c r="X213" s="16">
        <v>0</v>
      </c>
      <c r="Y213" s="16">
        <v>70</v>
      </c>
      <c r="Z213" s="16">
        <v>30</v>
      </c>
      <c r="AA213" s="16">
        <v>0</v>
      </c>
      <c r="AB213" s="16">
        <v>0</v>
      </c>
      <c r="AC213" s="16"/>
      <c r="AD213" s="24">
        <v>2002</v>
      </c>
      <c r="AE213" s="23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</row>
    <row r="214" spans="1:84" s="2" customFormat="1" x14ac:dyDescent="0.2">
      <c r="A214" s="17" t="s">
        <v>3921</v>
      </c>
      <c r="B214" s="17" t="s">
        <v>45</v>
      </c>
      <c r="C214" s="17">
        <v>2025</v>
      </c>
      <c r="D214" s="17" t="str">
        <f t="array" ref="D214">_xlfn.SWITCH(E214,"Jatikalen","35.18.20","Kertosono", "35.18.08","Lengkong","35.18.19","Loceret","35.18.04","Tanjunganom","35.18.11","Wilangan","35.18.15")</f>
        <v>35.18.08</v>
      </c>
      <c r="E214" s="16" t="s">
        <v>128</v>
      </c>
      <c r="F214" s="17" t="s">
        <v>662</v>
      </c>
      <c r="G214" s="17" t="s">
        <v>663</v>
      </c>
      <c r="H214" s="16" t="s">
        <v>31</v>
      </c>
      <c r="I214" s="16">
        <v>2</v>
      </c>
      <c r="J214" s="16">
        <v>4</v>
      </c>
      <c r="K214" s="16">
        <f t="shared" si="3"/>
        <v>6</v>
      </c>
      <c r="L214" s="36">
        <v>150000000</v>
      </c>
      <c r="M214" s="17" t="s">
        <v>444</v>
      </c>
      <c r="N214" s="36">
        <v>1400</v>
      </c>
      <c r="O214" s="16" t="s">
        <v>447</v>
      </c>
      <c r="P214" s="18">
        <v>203000000</v>
      </c>
      <c r="Q214" s="17" t="s">
        <v>446</v>
      </c>
      <c r="R214" s="35">
        <v>1450</v>
      </c>
      <c r="S214" s="16" t="s">
        <v>447</v>
      </c>
      <c r="T214" s="36">
        <v>99500000</v>
      </c>
      <c r="U214" s="20" t="s">
        <v>22</v>
      </c>
      <c r="V214" s="16">
        <v>0</v>
      </c>
      <c r="W214" s="16">
        <v>0</v>
      </c>
      <c r="X214" s="16">
        <v>0</v>
      </c>
      <c r="Y214" s="16">
        <v>60</v>
      </c>
      <c r="Z214" s="16">
        <v>40</v>
      </c>
      <c r="AA214" s="16">
        <v>0</v>
      </c>
      <c r="AB214" s="16">
        <v>0</v>
      </c>
      <c r="AC214" s="16"/>
      <c r="AD214" s="24">
        <v>2002</v>
      </c>
      <c r="AE214" s="23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</row>
    <row r="215" spans="1:84" s="2" customFormat="1" x14ac:dyDescent="0.2">
      <c r="A215" s="17" t="s">
        <v>3921</v>
      </c>
      <c r="B215" s="17" t="s">
        <v>45</v>
      </c>
      <c r="C215" s="17">
        <v>2025</v>
      </c>
      <c r="D215" s="17" t="str">
        <f t="array" ref="D215">_xlfn.SWITCH(E215,"Jatikalen","35.18.20","Kertosono", "35.18.08","Lengkong","35.18.19","Loceret","35.18.04","Tanjunganom","35.18.11","Wilangan","35.18.15")</f>
        <v>35.18.08</v>
      </c>
      <c r="E215" s="16" t="s">
        <v>128</v>
      </c>
      <c r="F215" s="17" t="s">
        <v>664</v>
      </c>
      <c r="G215" s="17" t="s">
        <v>665</v>
      </c>
      <c r="H215" s="16" t="s">
        <v>31</v>
      </c>
      <c r="I215" s="16">
        <v>2</v>
      </c>
      <c r="J215" s="16">
        <v>4</v>
      </c>
      <c r="K215" s="16">
        <f t="shared" si="3"/>
        <v>6</v>
      </c>
      <c r="L215" s="36">
        <v>150000000</v>
      </c>
      <c r="M215" s="17" t="s">
        <v>444</v>
      </c>
      <c r="N215" s="36">
        <v>1600</v>
      </c>
      <c r="O215" s="16" t="s">
        <v>447</v>
      </c>
      <c r="P215" s="18">
        <v>248000000</v>
      </c>
      <c r="Q215" s="17" t="s">
        <v>446</v>
      </c>
      <c r="R215" s="35">
        <v>1640</v>
      </c>
      <c r="S215" s="16" t="s">
        <v>447</v>
      </c>
      <c r="T215" s="36">
        <v>112750000</v>
      </c>
      <c r="U215" s="20" t="s">
        <v>22</v>
      </c>
      <c r="V215" s="16">
        <v>0</v>
      </c>
      <c r="W215" s="16">
        <v>0</v>
      </c>
      <c r="X215" s="16">
        <v>0</v>
      </c>
      <c r="Y215" s="16">
        <v>70</v>
      </c>
      <c r="Z215" s="16">
        <v>30</v>
      </c>
      <c r="AA215" s="16">
        <v>0</v>
      </c>
      <c r="AB215" s="16">
        <v>0</v>
      </c>
      <c r="AC215" s="16"/>
      <c r="AD215" s="24">
        <v>2002</v>
      </c>
      <c r="AE215" s="23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</row>
    <row r="216" spans="1:84" s="2" customFormat="1" ht="20" x14ac:dyDescent="0.2">
      <c r="A216" s="17" t="s">
        <v>3921</v>
      </c>
      <c r="B216" s="17" t="s">
        <v>45</v>
      </c>
      <c r="C216" s="17">
        <v>2025</v>
      </c>
      <c r="D216" s="17" t="str">
        <f t="array" ref="D216">_xlfn.SWITCH(E216,"Jatikalen","35.18.20","Kertosono", "35.18.08","Lengkong","35.18.19","Loceret","35.18.04","Tanjunganom","35.18.11","Wilangan","35.18.15")</f>
        <v>35.18.08</v>
      </c>
      <c r="E216" s="16" t="s">
        <v>128</v>
      </c>
      <c r="F216" s="17" t="s">
        <v>666</v>
      </c>
      <c r="G216" s="17" t="s">
        <v>667</v>
      </c>
      <c r="H216" s="16" t="s">
        <v>47</v>
      </c>
      <c r="I216" s="16">
        <v>11</v>
      </c>
      <c r="J216" s="16">
        <v>14</v>
      </c>
      <c r="K216" s="16">
        <f t="shared" si="3"/>
        <v>25</v>
      </c>
      <c r="L216" s="36">
        <v>25000000</v>
      </c>
      <c r="M216" s="17" t="s">
        <v>668</v>
      </c>
      <c r="N216" s="36">
        <v>240</v>
      </c>
      <c r="O216" s="16" t="s">
        <v>83</v>
      </c>
      <c r="P216" s="18">
        <v>67700000</v>
      </c>
      <c r="Q216" s="17" t="s">
        <v>669</v>
      </c>
      <c r="R216" s="35">
        <v>250</v>
      </c>
      <c r="S216" s="16" t="s">
        <v>83</v>
      </c>
      <c r="T216" s="36">
        <v>36800000</v>
      </c>
      <c r="U216" s="20" t="s">
        <v>22</v>
      </c>
      <c r="V216" s="16">
        <v>0</v>
      </c>
      <c r="W216" s="16">
        <v>0</v>
      </c>
      <c r="X216" s="16">
        <v>0</v>
      </c>
      <c r="Y216" s="16">
        <v>35</v>
      </c>
      <c r="Z216" s="16">
        <v>35</v>
      </c>
      <c r="AA216" s="16">
        <v>30</v>
      </c>
      <c r="AB216" s="16">
        <v>0</v>
      </c>
      <c r="AC216" s="16" t="s">
        <v>670</v>
      </c>
      <c r="AD216" s="22">
        <v>39794</v>
      </c>
      <c r="AE216" s="23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</row>
    <row r="217" spans="1:84" s="2" customFormat="1" x14ac:dyDescent="0.2">
      <c r="A217" s="17" t="s">
        <v>3921</v>
      </c>
      <c r="B217" s="17" t="s">
        <v>45</v>
      </c>
      <c r="C217" s="17">
        <v>2025</v>
      </c>
      <c r="D217" s="17" t="str">
        <f t="array" ref="D217">_xlfn.SWITCH(E217,"Jatikalen","35.18.20","Kertosono", "35.18.08","Lengkong","35.18.19","Loceret","35.18.04","Tanjunganom","35.18.11","Wilangan","35.18.15")</f>
        <v>35.18.08</v>
      </c>
      <c r="E217" s="16" t="s">
        <v>128</v>
      </c>
      <c r="F217" s="17" t="s">
        <v>671</v>
      </c>
      <c r="G217" s="17" t="s">
        <v>602</v>
      </c>
      <c r="H217" s="16" t="s">
        <v>31</v>
      </c>
      <c r="I217" s="16">
        <v>3</v>
      </c>
      <c r="J217" s="16">
        <v>1</v>
      </c>
      <c r="K217" s="16">
        <f t="shared" si="3"/>
        <v>4</v>
      </c>
      <c r="L217" s="36">
        <v>7500000</v>
      </c>
      <c r="M217" s="17" t="s">
        <v>172</v>
      </c>
      <c r="N217" s="36">
        <v>38</v>
      </c>
      <c r="O217" s="16" t="s">
        <v>83</v>
      </c>
      <c r="P217" s="18">
        <v>63700000</v>
      </c>
      <c r="Q217" s="17" t="s">
        <v>173</v>
      </c>
      <c r="R217" s="35">
        <v>15.3</v>
      </c>
      <c r="S217" s="16" t="s">
        <v>83</v>
      </c>
      <c r="T217" s="36">
        <v>32500000</v>
      </c>
      <c r="U217" s="20" t="s">
        <v>22</v>
      </c>
      <c r="V217" s="16" t="s">
        <v>50</v>
      </c>
      <c r="W217" s="16">
        <v>130</v>
      </c>
      <c r="X217" s="16" t="s">
        <v>51</v>
      </c>
      <c r="Y217" s="16">
        <v>100</v>
      </c>
      <c r="Z217" s="16">
        <v>0</v>
      </c>
      <c r="AA217" s="16">
        <v>0</v>
      </c>
      <c r="AB217" s="16">
        <v>0</v>
      </c>
      <c r="AC217" s="16"/>
      <c r="AD217" s="24">
        <v>2002</v>
      </c>
      <c r="AE217" s="23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</row>
    <row r="218" spans="1:84" s="2" customFormat="1" x14ac:dyDescent="0.2">
      <c r="A218" s="17" t="s">
        <v>3921</v>
      </c>
      <c r="B218" s="17" t="s">
        <v>45</v>
      </c>
      <c r="C218" s="17">
        <v>2025</v>
      </c>
      <c r="D218" s="17" t="str">
        <f t="array" ref="D218">_xlfn.SWITCH(E218,"Jatikalen","35.18.20","Kertosono", "35.18.08","Lengkong","35.18.19","Loceret","35.18.04","Tanjunganom","35.18.11","Wilangan","35.18.15")</f>
        <v>35.18.08</v>
      </c>
      <c r="E218" s="16" t="s">
        <v>128</v>
      </c>
      <c r="F218" s="17" t="s">
        <v>639</v>
      </c>
      <c r="G218" s="17" t="s">
        <v>672</v>
      </c>
      <c r="H218" s="16" t="s">
        <v>31</v>
      </c>
      <c r="I218" s="16">
        <v>3</v>
      </c>
      <c r="J218" s="16">
        <v>1</v>
      </c>
      <c r="K218" s="16">
        <f t="shared" si="3"/>
        <v>4</v>
      </c>
      <c r="L218" s="36">
        <v>7500000</v>
      </c>
      <c r="M218" s="17" t="s">
        <v>172</v>
      </c>
      <c r="N218" s="36">
        <v>38</v>
      </c>
      <c r="O218" s="16" t="s">
        <v>83</v>
      </c>
      <c r="P218" s="18">
        <v>65700000</v>
      </c>
      <c r="Q218" s="17" t="s">
        <v>173</v>
      </c>
      <c r="R218" s="35">
        <v>15.3</v>
      </c>
      <c r="S218" s="16" t="s">
        <v>83</v>
      </c>
      <c r="T218" s="36">
        <v>32500000</v>
      </c>
      <c r="U218" s="20" t="s">
        <v>22</v>
      </c>
      <c r="V218" s="16" t="s">
        <v>50</v>
      </c>
      <c r="W218" s="16">
        <v>130</v>
      </c>
      <c r="X218" s="16" t="s">
        <v>51</v>
      </c>
      <c r="Y218" s="16">
        <v>100</v>
      </c>
      <c r="Z218" s="16">
        <v>0</v>
      </c>
      <c r="AA218" s="16">
        <v>0</v>
      </c>
      <c r="AB218" s="16">
        <v>0</v>
      </c>
      <c r="AC218" s="16"/>
      <c r="AD218" s="24">
        <v>2002</v>
      </c>
      <c r="AE218" s="23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</row>
    <row r="219" spans="1:84" s="2" customFormat="1" x14ac:dyDescent="0.2">
      <c r="A219" s="17" t="s">
        <v>3921</v>
      </c>
      <c r="B219" s="17" t="s">
        <v>45</v>
      </c>
      <c r="C219" s="17">
        <v>2025</v>
      </c>
      <c r="D219" s="17" t="str">
        <f t="array" ref="D219">_xlfn.SWITCH(E219,"Jatikalen","35.18.20","Kertosono", "35.18.08","Lengkong","35.18.19","Loceret","35.18.04","Tanjunganom","35.18.11","Wilangan","35.18.15")</f>
        <v>35.18.08</v>
      </c>
      <c r="E219" s="16" t="s">
        <v>128</v>
      </c>
      <c r="F219" s="17" t="s">
        <v>639</v>
      </c>
      <c r="G219" s="17" t="s">
        <v>602</v>
      </c>
      <c r="H219" s="16" t="s">
        <v>31</v>
      </c>
      <c r="I219" s="16">
        <v>3</v>
      </c>
      <c r="J219" s="16">
        <v>2</v>
      </c>
      <c r="K219" s="16">
        <f t="shared" si="3"/>
        <v>5</v>
      </c>
      <c r="L219" s="36">
        <v>12500000</v>
      </c>
      <c r="M219" s="17" t="s">
        <v>172</v>
      </c>
      <c r="N219" s="36">
        <v>77</v>
      </c>
      <c r="O219" s="16" t="s">
        <v>83</v>
      </c>
      <c r="P219" s="18">
        <v>118550000</v>
      </c>
      <c r="Q219" s="17" t="s">
        <v>173</v>
      </c>
      <c r="R219" s="35">
        <v>31</v>
      </c>
      <c r="S219" s="16" t="s">
        <v>83</v>
      </c>
      <c r="T219" s="36">
        <v>65000000</v>
      </c>
      <c r="U219" s="20" t="s">
        <v>22</v>
      </c>
      <c r="V219" s="16" t="s">
        <v>50</v>
      </c>
      <c r="W219" s="16">
        <v>260</v>
      </c>
      <c r="X219" s="16" t="s">
        <v>51</v>
      </c>
      <c r="Y219" s="16">
        <v>100</v>
      </c>
      <c r="Z219" s="16">
        <v>0</v>
      </c>
      <c r="AA219" s="16">
        <v>0</v>
      </c>
      <c r="AB219" s="16">
        <v>0</v>
      </c>
      <c r="AC219" s="16"/>
      <c r="AD219" s="24">
        <v>2002</v>
      </c>
      <c r="AE219" s="23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</row>
    <row r="220" spans="1:84" s="2" customFormat="1" x14ac:dyDescent="0.2">
      <c r="A220" s="17" t="s">
        <v>3921</v>
      </c>
      <c r="B220" s="17" t="s">
        <v>45</v>
      </c>
      <c r="C220" s="17">
        <v>2025</v>
      </c>
      <c r="D220" s="17" t="str">
        <f t="array" ref="D220">_xlfn.SWITCH(E220,"Jatikalen","35.18.20","Kertosono", "35.18.08","Lengkong","35.18.19","Loceret","35.18.04","Tanjunganom","35.18.11","Wilangan","35.18.15")</f>
        <v>35.18.08</v>
      </c>
      <c r="E220" s="16" t="s">
        <v>128</v>
      </c>
      <c r="F220" s="33" t="s">
        <v>671</v>
      </c>
      <c r="G220" s="17" t="s">
        <v>673</v>
      </c>
      <c r="H220" s="16" t="s">
        <v>31</v>
      </c>
      <c r="I220" s="16">
        <v>4</v>
      </c>
      <c r="J220" s="16">
        <v>3</v>
      </c>
      <c r="K220" s="16">
        <f t="shared" si="3"/>
        <v>7</v>
      </c>
      <c r="L220" s="36">
        <v>15000000</v>
      </c>
      <c r="M220" s="17" t="s">
        <v>172</v>
      </c>
      <c r="N220" s="36">
        <v>115</v>
      </c>
      <c r="O220" s="16" t="s">
        <v>83</v>
      </c>
      <c r="P220" s="18">
        <v>272250000</v>
      </c>
      <c r="Q220" s="17" t="s">
        <v>173</v>
      </c>
      <c r="R220" s="35">
        <v>46</v>
      </c>
      <c r="S220" s="16" t="s">
        <v>83</v>
      </c>
      <c r="T220" s="36">
        <v>97500000</v>
      </c>
      <c r="U220" s="20" t="s">
        <v>22</v>
      </c>
      <c r="V220" s="16" t="s">
        <v>50</v>
      </c>
      <c r="W220" s="16">
        <v>390</v>
      </c>
      <c r="X220" s="16" t="s">
        <v>51</v>
      </c>
      <c r="Y220" s="16">
        <v>100</v>
      </c>
      <c r="Z220" s="16">
        <v>0</v>
      </c>
      <c r="AA220" s="16">
        <v>0</v>
      </c>
      <c r="AB220" s="16">
        <v>0</v>
      </c>
      <c r="AC220" s="16"/>
      <c r="AD220" s="24">
        <v>2002</v>
      </c>
      <c r="AE220" s="23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</row>
    <row r="221" spans="1:84" s="2" customFormat="1" x14ac:dyDescent="0.2">
      <c r="A221" s="17" t="s">
        <v>3921</v>
      </c>
      <c r="B221" s="17" t="s">
        <v>45</v>
      </c>
      <c r="C221" s="17">
        <v>2025</v>
      </c>
      <c r="D221" s="17" t="str">
        <f t="array" ref="D221">_xlfn.SWITCH(E221,"Jatikalen","35.18.20","Kertosono", "35.18.08","Lengkong","35.18.19","Loceret","35.18.04","Tanjunganom","35.18.11","Wilangan","35.18.15")</f>
        <v>35.18.08</v>
      </c>
      <c r="E221" s="16" t="s">
        <v>128</v>
      </c>
      <c r="F221" s="17" t="s">
        <v>674</v>
      </c>
      <c r="G221" s="17" t="s">
        <v>675</v>
      </c>
      <c r="H221" s="16" t="s">
        <v>31</v>
      </c>
      <c r="I221" s="16">
        <v>2</v>
      </c>
      <c r="J221" s="16">
        <v>5</v>
      </c>
      <c r="K221" s="16">
        <f t="shared" si="3"/>
        <v>7</v>
      </c>
      <c r="L221" s="36">
        <v>100000000</v>
      </c>
      <c r="M221" s="17" t="s">
        <v>676</v>
      </c>
      <c r="N221" s="36">
        <v>4000</v>
      </c>
      <c r="O221" s="16" t="s">
        <v>525</v>
      </c>
      <c r="P221" s="18">
        <v>182000000</v>
      </c>
      <c r="Q221" s="17" t="s">
        <v>526</v>
      </c>
      <c r="R221" s="35">
        <v>4125</v>
      </c>
      <c r="S221" s="16" t="s">
        <v>525</v>
      </c>
      <c r="T221" s="36">
        <v>66000000</v>
      </c>
      <c r="U221" s="20" t="s">
        <v>22</v>
      </c>
      <c r="V221" s="16">
        <v>0</v>
      </c>
      <c r="W221" s="16">
        <v>0</v>
      </c>
      <c r="X221" s="16">
        <v>0</v>
      </c>
      <c r="Y221" s="16">
        <v>60</v>
      </c>
      <c r="Z221" s="16">
        <v>40</v>
      </c>
      <c r="AA221" s="16">
        <v>0</v>
      </c>
      <c r="AB221" s="16">
        <v>0</v>
      </c>
      <c r="AC221" s="16"/>
      <c r="AD221" s="24">
        <v>2002</v>
      </c>
      <c r="AE221" s="23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</row>
    <row r="222" spans="1:84" s="2" customFormat="1" x14ac:dyDescent="0.2">
      <c r="A222" s="17" t="s">
        <v>3921</v>
      </c>
      <c r="B222" s="17" t="s">
        <v>45</v>
      </c>
      <c r="C222" s="17">
        <v>2025</v>
      </c>
      <c r="D222" s="17" t="str">
        <f t="array" ref="D222">_xlfn.SWITCH(E222,"Jatikalen","35.18.20","Kertosono", "35.18.08","Lengkong","35.18.19","Loceret","35.18.04","Tanjunganom","35.18.11","Wilangan","35.18.15")</f>
        <v>35.18.08</v>
      </c>
      <c r="E222" s="16" t="s">
        <v>128</v>
      </c>
      <c r="F222" s="17" t="s">
        <v>677</v>
      </c>
      <c r="G222" s="17" t="s">
        <v>602</v>
      </c>
      <c r="H222" s="16" t="s">
        <v>47</v>
      </c>
      <c r="I222" s="16">
        <v>1</v>
      </c>
      <c r="J222" s="16">
        <v>8</v>
      </c>
      <c r="K222" s="16">
        <f t="shared" si="3"/>
        <v>9</v>
      </c>
      <c r="L222" s="36">
        <v>51750000</v>
      </c>
      <c r="M222" s="17" t="s">
        <v>228</v>
      </c>
      <c r="N222" s="36" t="s">
        <v>678</v>
      </c>
      <c r="O222" s="16" t="s">
        <v>679</v>
      </c>
      <c r="P222" s="18">
        <v>42000000</v>
      </c>
      <c r="Q222" s="17" t="s">
        <v>504</v>
      </c>
      <c r="R222" s="35" t="s">
        <v>680</v>
      </c>
      <c r="S222" s="16" t="s">
        <v>547</v>
      </c>
      <c r="T222" s="36">
        <v>8550000</v>
      </c>
      <c r="U222" s="20" t="s">
        <v>22</v>
      </c>
      <c r="V222" s="16" t="s">
        <v>52</v>
      </c>
      <c r="W222" s="16">
        <v>500</v>
      </c>
      <c r="X222" s="16" t="s">
        <v>53</v>
      </c>
      <c r="Y222" s="16">
        <v>60</v>
      </c>
      <c r="Z222" s="16">
        <v>40</v>
      </c>
      <c r="AA222" s="16">
        <v>0</v>
      </c>
      <c r="AB222" s="16">
        <v>0</v>
      </c>
      <c r="AC222" s="16"/>
      <c r="AD222" s="24">
        <v>2002</v>
      </c>
      <c r="AE222" s="23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</row>
    <row r="223" spans="1:84" s="2" customFormat="1" x14ac:dyDescent="0.2">
      <c r="A223" s="17" t="s">
        <v>3921</v>
      </c>
      <c r="B223" s="17" t="s">
        <v>45</v>
      </c>
      <c r="C223" s="17">
        <v>2025</v>
      </c>
      <c r="D223" s="17" t="str">
        <f t="array" ref="D223">_xlfn.SWITCH(E223,"Jatikalen","35.18.20","Kertosono", "35.18.08","Lengkong","35.18.19","Loceret","35.18.04","Tanjunganom","35.18.11","Wilangan","35.18.15")</f>
        <v>35.18.08</v>
      </c>
      <c r="E223" s="16" t="s">
        <v>128</v>
      </c>
      <c r="F223" s="17" t="s">
        <v>681</v>
      </c>
      <c r="G223" s="17" t="s">
        <v>682</v>
      </c>
      <c r="H223" s="16" t="s">
        <v>47</v>
      </c>
      <c r="I223" s="16">
        <v>1</v>
      </c>
      <c r="J223" s="16">
        <v>12</v>
      </c>
      <c r="K223" s="16">
        <f t="shared" si="3"/>
        <v>13</v>
      </c>
      <c r="L223" s="36">
        <v>72225000</v>
      </c>
      <c r="M223" s="17" t="s">
        <v>228</v>
      </c>
      <c r="N223" s="36" t="s">
        <v>683</v>
      </c>
      <c r="O223" s="16" t="s">
        <v>679</v>
      </c>
      <c r="P223" s="18">
        <v>6300000</v>
      </c>
      <c r="Q223" s="17" t="s">
        <v>504</v>
      </c>
      <c r="R223" s="35" t="s">
        <v>684</v>
      </c>
      <c r="S223" s="16" t="s">
        <v>547</v>
      </c>
      <c r="T223" s="36">
        <v>1280000</v>
      </c>
      <c r="U223" s="20" t="s">
        <v>22</v>
      </c>
      <c r="V223" s="16" t="s">
        <v>52</v>
      </c>
      <c r="W223" s="16">
        <v>750</v>
      </c>
      <c r="X223" s="16" t="s">
        <v>53</v>
      </c>
      <c r="Y223" s="16">
        <v>65</v>
      </c>
      <c r="Z223" s="16">
        <v>35</v>
      </c>
      <c r="AA223" s="16">
        <v>0</v>
      </c>
      <c r="AB223" s="16">
        <v>0</v>
      </c>
      <c r="AC223" s="16"/>
      <c r="AD223" s="24">
        <v>2002</v>
      </c>
      <c r="AE223" s="23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</row>
    <row r="224" spans="1:84" s="2" customFormat="1" x14ac:dyDescent="0.2">
      <c r="A224" s="17" t="s">
        <v>3921</v>
      </c>
      <c r="B224" s="17" t="s">
        <v>45</v>
      </c>
      <c r="C224" s="17">
        <v>2025</v>
      </c>
      <c r="D224" s="17" t="str">
        <f t="array" ref="D224">_xlfn.SWITCH(E224,"Jatikalen","35.18.20","Kertosono", "35.18.08","Lengkong","35.18.19","Loceret","35.18.04","Tanjunganom","35.18.11","Wilangan","35.18.15")</f>
        <v>35.18.08</v>
      </c>
      <c r="E224" s="16" t="s">
        <v>128</v>
      </c>
      <c r="F224" s="17" t="s">
        <v>685</v>
      </c>
      <c r="G224" s="17" t="s">
        <v>686</v>
      </c>
      <c r="H224" s="16" t="s">
        <v>47</v>
      </c>
      <c r="I224" s="16">
        <v>4</v>
      </c>
      <c r="J224" s="16">
        <v>4</v>
      </c>
      <c r="K224" s="16">
        <f t="shared" si="3"/>
        <v>8</v>
      </c>
      <c r="L224" s="36">
        <v>10000000</v>
      </c>
      <c r="M224" s="17" t="s">
        <v>687</v>
      </c>
      <c r="N224" s="36">
        <v>13250</v>
      </c>
      <c r="O224" s="16" t="s">
        <v>377</v>
      </c>
      <c r="P224" s="18">
        <v>9275000</v>
      </c>
      <c r="Q224" s="17" t="s">
        <v>688</v>
      </c>
      <c r="R224" s="35">
        <v>13400</v>
      </c>
      <c r="S224" s="16" t="s">
        <v>377</v>
      </c>
      <c r="T224" s="36">
        <v>4500000</v>
      </c>
      <c r="U224" s="20" t="s">
        <v>22</v>
      </c>
      <c r="V224" s="16">
        <v>0</v>
      </c>
      <c r="W224" s="16">
        <v>0</v>
      </c>
      <c r="X224" s="16">
        <v>0</v>
      </c>
      <c r="Y224" s="16">
        <v>55</v>
      </c>
      <c r="Z224" s="16">
        <v>45</v>
      </c>
      <c r="AA224" s="16">
        <v>0</v>
      </c>
      <c r="AB224" s="16">
        <v>0</v>
      </c>
      <c r="AC224" s="16"/>
      <c r="AD224" s="24">
        <v>2002</v>
      </c>
      <c r="AE224" s="23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</row>
    <row r="225" spans="1:84" s="2" customFormat="1" x14ac:dyDescent="0.2">
      <c r="A225" s="17" t="s">
        <v>3921</v>
      </c>
      <c r="B225" s="17" t="s">
        <v>45</v>
      </c>
      <c r="C225" s="17">
        <v>2025</v>
      </c>
      <c r="D225" s="17" t="str">
        <f t="array" ref="D225">_xlfn.SWITCH(E225,"Jatikalen","35.18.20","Kertosono", "35.18.08","Lengkong","35.18.19","Loceret","35.18.04","Tanjunganom","35.18.11","Wilangan","35.18.15")</f>
        <v>35.18.08</v>
      </c>
      <c r="E225" s="16" t="s">
        <v>128</v>
      </c>
      <c r="F225" s="17" t="s">
        <v>689</v>
      </c>
      <c r="G225" s="17" t="s">
        <v>690</v>
      </c>
      <c r="H225" s="16" t="s">
        <v>47</v>
      </c>
      <c r="I225" s="16">
        <v>2</v>
      </c>
      <c r="J225" s="16">
        <v>4</v>
      </c>
      <c r="K225" s="16">
        <f t="shared" si="3"/>
        <v>6</v>
      </c>
      <c r="L225" s="36">
        <v>10000000</v>
      </c>
      <c r="M225" s="17" t="s">
        <v>676</v>
      </c>
      <c r="N225" s="36">
        <v>4000</v>
      </c>
      <c r="O225" s="16" t="s">
        <v>525</v>
      </c>
      <c r="P225" s="18">
        <v>182000000</v>
      </c>
      <c r="Q225" s="17" t="s">
        <v>526</v>
      </c>
      <c r="R225" s="35">
        <v>4125</v>
      </c>
      <c r="S225" s="16" t="s">
        <v>525</v>
      </c>
      <c r="T225" s="36">
        <v>66000000</v>
      </c>
      <c r="U225" s="20" t="s">
        <v>22</v>
      </c>
      <c r="V225" s="16">
        <v>0</v>
      </c>
      <c r="W225" s="16">
        <v>0</v>
      </c>
      <c r="X225" s="16">
        <v>0</v>
      </c>
      <c r="Y225" s="16">
        <v>70</v>
      </c>
      <c r="Z225" s="16">
        <v>30</v>
      </c>
      <c r="AA225" s="16">
        <v>0</v>
      </c>
      <c r="AB225" s="16">
        <v>0</v>
      </c>
      <c r="AC225" s="16"/>
      <c r="AD225" s="24">
        <v>2002</v>
      </c>
      <c r="AE225" s="23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</row>
    <row r="226" spans="1:84" s="2" customFormat="1" x14ac:dyDescent="0.2">
      <c r="A226" s="17" t="s">
        <v>3921</v>
      </c>
      <c r="B226" s="17" t="s">
        <v>45</v>
      </c>
      <c r="C226" s="17">
        <v>2025</v>
      </c>
      <c r="D226" s="17" t="str">
        <f t="array" ref="D226">_xlfn.SWITCH(E226,"Jatikalen","35.18.20","Kertosono", "35.18.08","Lengkong","35.18.19","Loceret","35.18.04","Tanjunganom","35.18.11","Wilangan","35.18.15")</f>
        <v>35.18.08</v>
      </c>
      <c r="E226" s="16" t="s">
        <v>128</v>
      </c>
      <c r="F226" s="17" t="s">
        <v>639</v>
      </c>
      <c r="G226" s="17" t="s">
        <v>602</v>
      </c>
      <c r="H226" s="16" t="s">
        <v>31</v>
      </c>
      <c r="I226" s="16">
        <v>3</v>
      </c>
      <c r="J226" s="16">
        <v>4</v>
      </c>
      <c r="K226" s="16">
        <f t="shared" si="3"/>
        <v>7</v>
      </c>
      <c r="L226" s="36">
        <v>20000000</v>
      </c>
      <c r="M226" s="17" t="s">
        <v>691</v>
      </c>
      <c r="N226" s="36">
        <v>595</v>
      </c>
      <c r="O226" s="16" t="s">
        <v>49</v>
      </c>
      <c r="P226" s="18">
        <v>16200000</v>
      </c>
      <c r="Q226" s="17" t="s">
        <v>692</v>
      </c>
      <c r="R226" s="35" t="s">
        <v>693</v>
      </c>
      <c r="S226" s="16" t="s">
        <v>694</v>
      </c>
      <c r="T226" s="36">
        <v>7000000</v>
      </c>
      <c r="U226" s="20" t="s">
        <v>22</v>
      </c>
      <c r="V226" s="16">
        <v>0</v>
      </c>
      <c r="W226" s="16">
        <v>0</v>
      </c>
      <c r="X226" s="16">
        <v>0</v>
      </c>
      <c r="Y226" s="16">
        <v>100</v>
      </c>
      <c r="Z226" s="16">
        <v>0</v>
      </c>
      <c r="AA226" s="16">
        <v>0</v>
      </c>
      <c r="AB226" s="16">
        <v>0</v>
      </c>
      <c r="AC226" s="16"/>
      <c r="AD226" s="24">
        <v>2002</v>
      </c>
      <c r="AE226" s="23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</row>
    <row r="227" spans="1:84" s="2" customFormat="1" x14ac:dyDescent="0.2">
      <c r="A227" s="17" t="s">
        <v>3921</v>
      </c>
      <c r="B227" s="17" t="s">
        <v>45</v>
      </c>
      <c r="C227" s="17">
        <v>2025</v>
      </c>
      <c r="D227" s="17" t="str">
        <f t="array" ref="D227">_xlfn.SWITCH(E227,"Jatikalen","35.18.20","Kertosono", "35.18.08","Lengkong","35.18.19","Loceret","35.18.04","Tanjunganom","35.18.11","Wilangan","35.18.15")</f>
        <v>35.18.08</v>
      </c>
      <c r="E227" s="16" t="s">
        <v>128</v>
      </c>
      <c r="F227" s="17" t="s">
        <v>695</v>
      </c>
      <c r="G227" s="17" t="s">
        <v>696</v>
      </c>
      <c r="H227" s="16" t="s">
        <v>31</v>
      </c>
      <c r="I227" s="16">
        <v>5</v>
      </c>
      <c r="J227" s="16">
        <v>4</v>
      </c>
      <c r="K227" s="16">
        <f t="shared" si="3"/>
        <v>9</v>
      </c>
      <c r="L227" s="36">
        <v>27500000</v>
      </c>
      <c r="M227" s="17" t="s">
        <v>583</v>
      </c>
      <c r="N227" s="36">
        <v>895</v>
      </c>
      <c r="O227" s="16" t="s">
        <v>49</v>
      </c>
      <c r="P227" s="18">
        <v>24300000</v>
      </c>
      <c r="Q227" s="17" t="s">
        <v>697</v>
      </c>
      <c r="R227" s="35" t="s">
        <v>698</v>
      </c>
      <c r="S227" s="16" t="s">
        <v>694</v>
      </c>
      <c r="T227" s="36">
        <v>11500000</v>
      </c>
      <c r="U227" s="20" t="s">
        <v>22</v>
      </c>
      <c r="V227" s="16">
        <v>0</v>
      </c>
      <c r="W227" s="16">
        <v>0</v>
      </c>
      <c r="X227" s="16">
        <v>0</v>
      </c>
      <c r="Y227" s="16">
        <v>100</v>
      </c>
      <c r="Z227" s="16">
        <v>0</v>
      </c>
      <c r="AA227" s="16">
        <v>0</v>
      </c>
      <c r="AB227" s="16">
        <v>0</v>
      </c>
      <c r="AC227" s="16"/>
      <c r="AD227" s="24">
        <v>2002</v>
      </c>
      <c r="AE227" s="23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</row>
    <row r="228" spans="1:84" s="2" customFormat="1" x14ac:dyDescent="0.2">
      <c r="A228" s="17" t="s">
        <v>3921</v>
      </c>
      <c r="B228" s="17" t="s">
        <v>45</v>
      </c>
      <c r="C228" s="17">
        <v>2025</v>
      </c>
      <c r="D228" s="17" t="str">
        <f t="array" ref="D228">_xlfn.SWITCH(E228,"Jatikalen","35.18.20","Kertosono", "35.18.08","Lengkong","35.18.19","Loceret","35.18.04","Tanjunganom","35.18.11","Wilangan","35.18.15")</f>
        <v>35.18.08</v>
      </c>
      <c r="E228" s="16" t="s">
        <v>128</v>
      </c>
      <c r="F228" s="17" t="s">
        <v>699</v>
      </c>
      <c r="G228" s="17" t="s">
        <v>700</v>
      </c>
      <c r="H228" s="16" t="s">
        <v>47</v>
      </c>
      <c r="I228" s="16">
        <v>2</v>
      </c>
      <c r="J228" s="16">
        <v>4</v>
      </c>
      <c r="K228" s="16">
        <f t="shared" si="3"/>
        <v>6</v>
      </c>
      <c r="L228" s="36">
        <v>25000000</v>
      </c>
      <c r="M228" s="17" t="s">
        <v>701</v>
      </c>
      <c r="N228" s="36" t="s">
        <v>702</v>
      </c>
      <c r="O228" s="16" t="s">
        <v>679</v>
      </c>
      <c r="P228" s="18">
        <v>10000000</v>
      </c>
      <c r="Q228" s="17" t="s">
        <v>96</v>
      </c>
      <c r="R228" s="35" t="s">
        <v>703</v>
      </c>
      <c r="S228" s="16" t="s">
        <v>194</v>
      </c>
      <c r="T228" s="36">
        <v>4800000</v>
      </c>
      <c r="U228" s="20" t="s">
        <v>22</v>
      </c>
      <c r="V228" s="16">
        <v>0</v>
      </c>
      <c r="W228" s="16">
        <v>0</v>
      </c>
      <c r="X228" s="16">
        <v>0</v>
      </c>
      <c r="Y228" s="16">
        <v>70</v>
      </c>
      <c r="Z228" s="16">
        <v>30</v>
      </c>
      <c r="AA228" s="16">
        <v>0</v>
      </c>
      <c r="AB228" s="16">
        <v>0</v>
      </c>
      <c r="AC228" s="16"/>
      <c r="AD228" s="24">
        <v>2002</v>
      </c>
      <c r="AE228" s="23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</row>
    <row r="229" spans="1:84" s="2" customFormat="1" x14ac:dyDescent="0.2">
      <c r="A229" s="17" t="s">
        <v>3921</v>
      </c>
      <c r="B229" s="17" t="s">
        <v>45</v>
      </c>
      <c r="C229" s="17">
        <v>2025</v>
      </c>
      <c r="D229" s="17" t="str">
        <f t="array" ref="D229">_xlfn.SWITCH(E229,"Jatikalen","35.18.20","Kertosono", "35.18.08","Lengkong","35.18.19","Loceret","35.18.04","Tanjunganom","35.18.11","Wilangan","35.18.15")</f>
        <v>35.18.08</v>
      </c>
      <c r="E229" s="16" t="s">
        <v>128</v>
      </c>
      <c r="F229" s="17" t="s">
        <v>704</v>
      </c>
      <c r="G229" s="17" t="s">
        <v>705</v>
      </c>
      <c r="H229" s="16" t="s">
        <v>31</v>
      </c>
      <c r="I229" s="16">
        <v>3</v>
      </c>
      <c r="J229" s="16">
        <v>3</v>
      </c>
      <c r="K229" s="16">
        <f t="shared" si="3"/>
        <v>6</v>
      </c>
      <c r="L229" s="36">
        <v>16500000</v>
      </c>
      <c r="M229" s="17" t="s">
        <v>172</v>
      </c>
      <c r="N229" s="36">
        <v>36</v>
      </c>
      <c r="O229" s="16" t="s">
        <v>83</v>
      </c>
      <c r="P229" s="18">
        <v>61800000</v>
      </c>
      <c r="Q229" s="17" t="s">
        <v>173</v>
      </c>
      <c r="R229" s="35">
        <v>15</v>
      </c>
      <c r="S229" s="16" t="s">
        <v>83</v>
      </c>
      <c r="T229" s="36">
        <v>30000000</v>
      </c>
      <c r="U229" s="20" t="s">
        <v>22</v>
      </c>
      <c r="V229" s="16" t="s">
        <v>50</v>
      </c>
      <c r="W229" s="16">
        <v>120</v>
      </c>
      <c r="X229" s="16" t="s">
        <v>51</v>
      </c>
      <c r="Y229" s="16">
        <v>100</v>
      </c>
      <c r="Z229" s="16">
        <v>0</v>
      </c>
      <c r="AA229" s="16">
        <v>0</v>
      </c>
      <c r="AB229" s="16">
        <v>0</v>
      </c>
      <c r="AC229" s="16"/>
      <c r="AD229" s="24">
        <v>2002</v>
      </c>
      <c r="AE229" s="23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</row>
    <row r="230" spans="1:84" s="2" customFormat="1" x14ac:dyDescent="0.2">
      <c r="A230" s="17" t="s">
        <v>3921</v>
      </c>
      <c r="B230" s="17" t="s">
        <v>45</v>
      </c>
      <c r="C230" s="17">
        <v>2025</v>
      </c>
      <c r="D230" s="17" t="str">
        <f t="array" ref="D230">_xlfn.SWITCH(E230,"Jatikalen","35.18.20","Kertosono", "35.18.08","Lengkong","35.18.19","Loceret","35.18.04","Tanjunganom","35.18.11","Wilangan","35.18.15")</f>
        <v>35.18.19</v>
      </c>
      <c r="E230" s="16" t="s">
        <v>64</v>
      </c>
      <c r="F230" s="17" t="s">
        <v>394</v>
      </c>
      <c r="G230" s="17" t="s">
        <v>706</v>
      </c>
      <c r="H230" s="16" t="s">
        <v>31</v>
      </c>
      <c r="I230" s="16">
        <v>35</v>
      </c>
      <c r="J230" s="16">
        <v>10</v>
      </c>
      <c r="K230" s="16">
        <f t="shared" si="3"/>
        <v>45</v>
      </c>
      <c r="L230" s="36">
        <v>18400000</v>
      </c>
      <c r="M230" s="17" t="s">
        <v>565</v>
      </c>
      <c r="N230" s="35">
        <v>40</v>
      </c>
      <c r="O230" s="16" t="s">
        <v>83</v>
      </c>
      <c r="P230" s="18">
        <v>130000000</v>
      </c>
      <c r="Q230" s="17" t="s">
        <v>34</v>
      </c>
      <c r="R230" s="35">
        <v>230</v>
      </c>
      <c r="S230" s="16" t="s">
        <v>83</v>
      </c>
      <c r="T230" s="36">
        <v>63500000</v>
      </c>
      <c r="U230" s="20" t="s">
        <v>22</v>
      </c>
      <c r="V230" s="16">
        <v>0</v>
      </c>
      <c r="W230" s="16">
        <v>0</v>
      </c>
      <c r="X230" s="16">
        <v>0</v>
      </c>
      <c r="Y230" s="16">
        <v>35</v>
      </c>
      <c r="Z230" s="16">
        <v>35</v>
      </c>
      <c r="AA230" s="16">
        <v>30</v>
      </c>
      <c r="AB230" s="16">
        <v>0</v>
      </c>
      <c r="AC230" s="16"/>
      <c r="AD230" s="22"/>
      <c r="AE230" s="23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</row>
    <row r="231" spans="1:84" s="2" customFormat="1" x14ac:dyDescent="0.2">
      <c r="A231" s="17" t="s">
        <v>3921</v>
      </c>
      <c r="B231" s="17" t="s">
        <v>45</v>
      </c>
      <c r="C231" s="17">
        <v>2025</v>
      </c>
      <c r="D231" s="17" t="str">
        <f t="array" ref="D231">_xlfn.SWITCH(E231,"Jatikalen","35.18.20","Kertosono", "35.18.08","Lengkong","35.18.19","Loceret","35.18.04","Tanjunganom","35.18.11","Wilangan","35.18.15")</f>
        <v>35.18.19</v>
      </c>
      <c r="E231" s="16" t="s">
        <v>64</v>
      </c>
      <c r="F231" s="17" t="s">
        <v>707</v>
      </c>
      <c r="G231" s="17" t="s">
        <v>708</v>
      </c>
      <c r="H231" s="16" t="s">
        <v>31</v>
      </c>
      <c r="I231" s="16">
        <v>12</v>
      </c>
      <c r="J231" s="16">
        <v>10</v>
      </c>
      <c r="K231" s="16">
        <f t="shared" si="3"/>
        <v>22</v>
      </c>
      <c r="L231" s="36">
        <v>12000000</v>
      </c>
      <c r="M231" s="17" t="s">
        <v>565</v>
      </c>
      <c r="N231" s="35">
        <v>18</v>
      </c>
      <c r="O231" s="16" t="s">
        <v>83</v>
      </c>
      <c r="P231" s="18">
        <v>64000000</v>
      </c>
      <c r="Q231" s="17" t="s">
        <v>34</v>
      </c>
      <c r="R231" s="35">
        <v>103</v>
      </c>
      <c r="S231" s="16" t="s">
        <v>83</v>
      </c>
      <c r="T231" s="36">
        <v>26350000</v>
      </c>
      <c r="U231" s="20" t="s">
        <v>22</v>
      </c>
      <c r="V231" s="16">
        <v>0</v>
      </c>
      <c r="W231" s="16">
        <v>0</v>
      </c>
      <c r="X231" s="16">
        <v>0</v>
      </c>
      <c r="Y231" s="16">
        <v>35</v>
      </c>
      <c r="Z231" s="16">
        <v>40</v>
      </c>
      <c r="AA231" s="16">
        <v>25</v>
      </c>
      <c r="AB231" s="16">
        <v>0</v>
      </c>
      <c r="AC231" s="16"/>
      <c r="AD231" s="22"/>
      <c r="AE231" s="23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</row>
    <row r="232" spans="1:84" s="2" customFormat="1" x14ac:dyDescent="0.2">
      <c r="A232" s="17" t="s">
        <v>3921</v>
      </c>
      <c r="B232" s="17" t="s">
        <v>45</v>
      </c>
      <c r="C232" s="17">
        <v>2025</v>
      </c>
      <c r="D232" s="17" t="str">
        <f t="array" ref="D232">_xlfn.SWITCH(E232,"Jatikalen","35.18.20","Kertosono", "35.18.08","Lengkong","35.18.19","Loceret","35.18.04","Tanjunganom","35.18.11","Wilangan","35.18.15")</f>
        <v>35.18.19</v>
      </c>
      <c r="E232" s="16" t="s">
        <v>64</v>
      </c>
      <c r="F232" s="17" t="s">
        <v>709</v>
      </c>
      <c r="G232" s="17" t="s">
        <v>710</v>
      </c>
      <c r="H232" s="16" t="s">
        <v>31</v>
      </c>
      <c r="I232" s="16">
        <v>10</v>
      </c>
      <c r="J232" s="16">
        <v>7</v>
      </c>
      <c r="K232" s="16">
        <f t="shared" si="3"/>
        <v>17</v>
      </c>
      <c r="L232" s="36">
        <v>11500000</v>
      </c>
      <c r="M232" s="17" t="s">
        <v>565</v>
      </c>
      <c r="N232" s="35">
        <v>14</v>
      </c>
      <c r="O232" s="16" t="s">
        <v>83</v>
      </c>
      <c r="P232" s="18">
        <v>49000000</v>
      </c>
      <c r="Q232" s="17" t="s">
        <v>34</v>
      </c>
      <c r="R232" s="35">
        <v>80</v>
      </c>
      <c r="S232" s="16" t="s">
        <v>83</v>
      </c>
      <c r="T232" s="36">
        <v>25000000</v>
      </c>
      <c r="U232" s="20" t="s">
        <v>22</v>
      </c>
      <c r="V232" s="16">
        <v>0</v>
      </c>
      <c r="W232" s="16">
        <v>0</v>
      </c>
      <c r="X232" s="16">
        <v>0</v>
      </c>
      <c r="Y232" s="16">
        <v>40</v>
      </c>
      <c r="Z232" s="16">
        <v>30</v>
      </c>
      <c r="AA232" s="16">
        <v>30</v>
      </c>
      <c r="AB232" s="16">
        <v>0</v>
      </c>
      <c r="AC232" s="16"/>
      <c r="AD232" s="22"/>
      <c r="AE232" s="23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</row>
    <row r="233" spans="1:84" s="2" customFormat="1" x14ac:dyDescent="0.2">
      <c r="A233" s="17" t="s">
        <v>3921</v>
      </c>
      <c r="B233" s="17" t="s">
        <v>45</v>
      </c>
      <c r="C233" s="17">
        <v>2025</v>
      </c>
      <c r="D233" s="17" t="str">
        <f t="array" ref="D233">_xlfn.SWITCH(E233,"Jatikalen","35.18.20","Kertosono", "35.18.08","Lengkong","35.18.19","Loceret","35.18.04","Tanjunganom","35.18.11","Wilangan","35.18.15")</f>
        <v>35.18.19</v>
      </c>
      <c r="E233" s="16" t="s">
        <v>64</v>
      </c>
      <c r="F233" s="17" t="s">
        <v>711</v>
      </c>
      <c r="G233" s="17" t="s">
        <v>712</v>
      </c>
      <c r="H233" s="16" t="s">
        <v>31</v>
      </c>
      <c r="I233" s="16">
        <v>17</v>
      </c>
      <c r="J233" s="16">
        <v>9</v>
      </c>
      <c r="K233" s="16">
        <f t="shared" si="3"/>
        <v>26</v>
      </c>
      <c r="L233" s="36">
        <v>14000000</v>
      </c>
      <c r="M233" s="17" t="s">
        <v>565</v>
      </c>
      <c r="N233" s="35" t="s">
        <v>713</v>
      </c>
      <c r="O233" s="16" t="s">
        <v>83</v>
      </c>
      <c r="P233" s="18">
        <v>70500000</v>
      </c>
      <c r="Q233" s="17" t="s">
        <v>34</v>
      </c>
      <c r="R233" s="35">
        <v>120</v>
      </c>
      <c r="S233" s="16" t="s">
        <v>83</v>
      </c>
      <c r="T233" s="36">
        <v>34000000</v>
      </c>
      <c r="U233" s="20" t="s">
        <v>22</v>
      </c>
      <c r="V233" s="16">
        <v>0</v>
      </c>
      <c r="W233" s="16">
        <v>0</v>
      </c>
      <c r="X233" s="16">
        <v>0</v>
      </c>
      <c r="Y233" s="16">
        <v>35</v>
      </c>
      <c r="Z233" s="16">
        <v>40</v>
      </c>
      <c r="AA233" s="16">
        <v>25</v>
      </c>
      <c r="AB233" s="16">
        <v>0</v>
      </c>
      <c r="AC233" s="16"/>
      <c r="AD233" s="22"/>
      <c r="AE233" s="23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</row>
    <row r="234" spans="1:84" s="2" customFormat="1" x14ac:dyDescent="0.2">
      <c r="A234" s="17" t="s">
        <v>3921</v>
      </c>
      <c r="B234" s="17" t="s">
        <v>45</v>
      </c>
      <c r="C234" s="17">
        <v>2025</v>
      </c>
      <c r="D234" s="17" t="str">
        <f t="array" ref="D234">_xlfn.SWITCH(E234,"Jatikalen","35.18.20","Kertosono", "35.18.08","Lengkong","35.18.19","Loceret","35.18.04","Tanjunganom","35.18.11","Wilangan","35.18.15")</f>
        <v>35.18.19</v>
      </c>
      <c r="E234" s="16" t="s">
        <v>64</v>
      </c>
      <c r="F234" s="17" t="s">
        <v>63</v>
      </c>
      <c r="G234" s="17" t="s">
        <v>714</v>
      </c>
      <c r="H234" s="16" t="s">
        <v>31</v>
      </c>
      <c r="I234" s="16">
        <v>10</v>
      </c>
      <c r="J234" s="16">
        <v>8</v>
      </c>
      <c r="K234" s="16">
        <f t="shared" si="3"/>
        <v>18</v>
      </c>
      <c r="L234" s="36">
        <v>12450000</v>
      </c>
      <c r="M234" s="17" t="s">
        <v>565</v>
      </c>
      <c r="N234" s="35">
        <v>14</v>
      </c>
      <c r="O234" s="16" t="s">
        <v>83</v>
      </c>
      <c r="P234" s="18">
        <v>48000000</v>
      </c>
      <c r="Q234" s="17" t="s">
        <v>34</v>
      </c>
      <c r="R234" s="35">
        <v>80</v>
      </c>
      <c r="S234" s="16" t="s">
        <v>83</v>
      </c>
      <c r="T234" s="36">
        <v>23000000</v>
      </c>
      <c r="U234" s="20" t="s">
        <v>22</v>
      </c>
      <c r="V234" s="16">
        <v>0</v>
      </c>
      <c r="W234" s="16">
        <v>0</v>
      </c>
      <c r="X234" s="16">
        <v>0</v>
      </c>
      <c r="Y234" s="16">
        <v>50</v>
      </c>
      <c r="Z234" s="16">
        <v>30</v>
      </c>
      <c r="AA234" s="16">
        <v>20</v>
      </c>
      <c r="AB234" s="16">
        <v>0</v>
      </c>
      <c r="AC234" s="16"/>
      <c r="AD234" s="22"/>
      <c r="AE234" s="23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</row>
    <row r="235" spans="1:84" s="2" customFormat="1" x14ac:dyDescent="0.2">
      <c r="A235" s="17" t="s">
        <v>3921</v>
      </c>
      <c r="B235" s="17" t="s">
        <v>45</v>
      </c>
      <c r="C235" s="17">
        <v>2025</v>
      </c>
      <c r="D235" s="17" t="str">
        <f t="array" ref="D235">_xlfn.SWITCH(E235,"Jatikalen","35.18.20","Kertosono", "35.18.08","Lengkong","35.18.19","Loceret","35.18.04","Tanjunganom","35.18.11","Wilangan","35.18.15")</f>
        <v>35.18.19</v>
      </c>
      <c r="E235" s="16" t="s">
        <v>64</v>
      </c>
      <c r="F235" s="17" t="s">
        <v>63</v>
      </c>
      <c r="G235" s="17" t="s">
        <v>715</v>
      </c>
      <c r="H235" s="16" t="s">
        <v>31</v>
      </c>
      <c r="I235" s="16">
        <v>13</v>
      </c>
      <c r="J235" s="16">
        <v>11</v>
      </c>
      <c r="K235" s="16">
        <f t="shared" si="3"/>
        <v>24</v>
      </c>
      <c r="L235" s="36">
        <v>15700000</v>
      </c>
      <c r="M235" s="17" t="s">
        <v>565</v>
      </c>
      <c r="N235" s="35" t="s">
        <v>716</v>
      </c>
      <c r="O235" s="16" t="s">
        <v>83</v>
      </c>
      <c r="P235" s="18">
        <v>62500000</v>
      </c>
      <c r="Q235" s="17" t="s">
        <v>34</v>
      </c>
      <c r="R235" s="35">
        <v>100</v>
      </c>
      <c r="S235" s="16" t="s">
        <v>83</v>
      </c>
      <c r="T235" s="36">
        <v>25000000</v>
      </c>
      <c r="U235" s="20" t="s">
        <v>22</v>
      </c>
      <c r="V235" s="16">
        <v>0</v>
      </c>
      <c r="W235" s="16">
        <v>0</v>
      </c>
      <c r="X235" s="16">
        <v>0</v>
      </c>
      <c r="Y235" s="16">
        <v>40</v>
      </c>
      <c r="Z235" s="16">
        <v>30</v>
      </c>
      <c r="AA235" s="16">
        <v>30</v>
      </c>
      <c r="AB235" s="16">
        <v>0</v>
      </c>
      <c r="AC235" s="16"/>
      <c r="AD235" s="22"/>
      <c r="AE235" s="23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</row>
    <row r="236" spans="1:84" s="2" customFormat="1" x14ac:dyDescent="0.2">
      <c r="A236" s="17" t="s">
        <v>3921</v>
      </c>
      <c r="B236" s="17" t="s">
        <v>45</v>
      </c>
      <c r="C236" s="17">
        <v>2025</v>
      </c>
      <c r="D236" s="17" t="str">
        <f t="array" ref="D236">_xlfn.SWITCH(E236,"Jatikalen","35.18.20","Kertosono", "35.18.08","Lengkong","35.18.19","Loceret","35.18.04","Tanjunganom","35.18.11","Wilangan","35.18.15")</f>
        <v>35.18.19</v>
      </c>
      <c r="E236" s="16" t="s">
        <v>64</v>
      </c>
      <c r="F236" s="17" t="s">
        <v>63</v>
      </c>
      <c r="G236" s="17" t="s">
        <v>717</v>
      </c>
      <c r="H236" s="16" t="s">
        <v>31</v>
      </c>
      <c r="I236" s="16">
        <v>13</v>
      </c>
      <c r="J236" s="16">
        <v>10</v>
      </c>
      <c r="K236" s="16">
        <f t="shared" si="3"/>
        <v>23</v>
      </c>
      <c r="L236" s="36">
        <v>13000000</v>
      </c>
      <c r="M236" s="17" t="s">
        <v>565</v>
      </c>
      <c r="N236" s="35" t="s">
        <v>716</v>
      </c>
      <c r="O236" s="16" t="s">
        <v>83</v>
      </c>
      <c r="P236" s="18">
        <v>62500000</v>
      </c>
      <c r="Q236" s="17" t="s">
        <v>34</v>
      </c>
      <c r="R236" s="35">
        <v>100</v>
      </c>
      <c r="S236" s="16" t="s">
        <v>83</v>
      </c>
      <c r="T236" s="36">
        <v>26000000</v>
      </c>
      <c r="U236" s="20" t="s">
        <v>22</v>
      </c>
      <c r="V236" s="16">
        <v>0</v>
      </c>
      <c r="W236" s="16">
        <v>0</v>
      </c>
      <c r="X236" s="16">
        <v>0</v>
      </c>
      <c r="Y236" s="16">
        <v>40</v>
      </c>
      <c r="Z236" s="16">
        <v>30</v>
      </c>
      <c r="AA236" s="16">
        <v>30</v>
      </c>
      <c r="AB236" s="16">
        <v>0</v>
      </c>
      <c r="AC236" s="16"/>
      <c r="AD236" s="22"/>
      <c r="AE236" s="23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</row>
    <row r="237" spans="1:84" s="2" customFormat="1" x14ac:dyDescent="0.2">
      <c r="A237" s="17" t="s">
        <v>3921</v>
      </c>
      <c r="B237" s="17" t="s">
        <v>45</v>
      </c>
      <c r="C237" s="17">
        <v>2025</v>
      </c>
      <c r="D237" s="17" t="str">
        <f t="array" ref="D237">_xlfn.SWITCH(E237,"Jatikalen","35.18.20","Kertosono", "35.18.08","Lengkong","35.18.19","Loceret","35.18.04","Tanjunganom","35.18.11","Wilangan","35.18.15")</f>
        <v>35.18.19</v>
      </c>
      <c r="E237" s="16" t="s">
        <v>64</v>
      </c>
      <c r="F237" s="17" t="s">
        <v>71</v>
      </c>
      <c r="G237" s="17" t="s">
        <v>718</v>
      </c>
      <c r="H237" s="16" t="s">
        <v>31</v>
      </c>
      <c r="I237" s="16">
        <v>21</v>
      </c>
      <c r="J237" s="16">
        <v>10</v>
      </c>
      <c r="K237" s="16">
        <f t="shared" si="3"/>
        <v>31</v>
      </c>
      <c r="L237" s="36">
        <v>16000000</v>
      </c>
      <c r="M237" s="17" t="s">
        <v>565</v>
      </c>
      <c r="N237" s="35">
        <v>26</v>
      </c>
      <c r="O237" s="16" t="s">
        <v>83</v>
      </c>
      <c r="P237" s="18">
        <v>91000000</v>
      </c>
      <c r="Q237" s="17" t="s">
        <v>34</v>
      </c>
      <c r="R237" s="35">
        <v>150</v>
      </c>
      <c r="S237" s="16" t="s">
        <v>83</v>
      </c>
      <c r="T237" s="36">
        <v>37500000</v>
      </c>
      <c r="U237" s="20" t="s">
        <v>22</v>
      </c>
      <c r="V237" s="16">
        <v>0</v>
      </c>
      <c r="W237" s="16">
        <v>0</v>
      </c>
      <c r="X237" s="16">
        <v>0</v>
      </c>
      <c r="Y237" s="16">
        <v>35</v>
      </c>
      <c r="Z237" s="16">
        <v>35</v>
      </c>
      <c r="AA237" s="16">
        <v>30</v>
      </c>
      <c r="AB237" s="16">
        <v>0</v>
      </c>
      <c r="AC237" s="16"/>
      <c r="AD237" s="22"/>
      <c r="AE237" s="23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</row>
    <row r="238" spans="1:84" s="2" customFormat="1" x14ac:dyDescent="0.2">
      <c r="A238" s="17" t="s">
        <v>3921</v>
      </c>
      <c r="B238" s="17" t="s">
        <v>45</v>
      </c>
      <c r="C238" s="17">
        <v>2025</v>
      </c>
      <c r="D238" s="17" t="str">
        <f t="array" ref="D238">_xlfn.SWITCH(E238,"Jatikalen","35.18.20","Kertosono", "35.18.08","Lengkong","35.18.19","Loceret","35.18.04","Tanjunganom","35.18.11","Wilangan","35.18.15")</f>
        <v>35.18.19</v>
      </c>
      <c r="E238" s="16" t="s">
        <v>64</v>
      </c>
      <c r="F238" s="17" t="s">
        <v>71</v>
      </c>
      <c r="G238" s="17" t="s">
        <v>719</v>
      </c>
      <c r="H238" s="16" t="s">
        <v>31</v>
      </c>
      <c r="I238" s="16">
        <v>15</v>
      </c>
      <c r="J238" s="16">
        <v>10</v>
      </c>
      <c r="K238" s="16">
        <f t="shared" si="3"/>
        <v>25</v>
      </c>
      <c r="L238" s="36">
        <v>14500000</v>
      </c>
      <c r="M238" s="17" t="s">
        <v>565</v>
      </c>
      <c r="N238" s="35">
        <v>19</v>
      </c>
      <c r="O238" s="16" t="s">
        <v>83</v>
      </c>
      <c r="P238" s="18">
        <v>68500000</v>
      </c>
      <c r="Q238" s="17" t="s">
        <v>34</v>
      </c>
      <c r="R238" s="35">
        <v>110</v>
      </c>
      <c r="S238" s="16" t="s">
        <v>83</v>
      </c>
      <c r="T238" s="36">
        <v>26500000</v>
      </c>
      <c r="U238" s="20" t="s">
        <v>22</v>
      </c>
      <c r="V238" s="16">
        <v>0</v>
      </c>
      <c r="W238" s="16">
        <v>0</v>
      </c>
      <c r="X238" s="16">
        <v>0</v>
      </c>
      <c r="Y238" s="16">
        <v>35</v>
      </c>
      <c r="Z238" s="16">
        <v>40</v>
      </c>
      <c r="AA238" s="16">
        <v>25</v>
      </c>
      <c r="AB238" s="16">
        <v>0</v>
      </c>
      <c r="AC238" s="16"/>
      <c r="AD238" s="22"/>
      <c r="AE238" s="23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</row>
    <row r="239" spans="1:84" s="2" customFormat="1" x14ac:dyDescent="0.2">
      <c r="A239" s="17" t="s">
        <v>3921</v>
      </c>
      <c r="B239" s="17" t="s">
        <v>45</v>
      </c>
      <c r="C239" s="17">
        <v>2025</v>
      </c>
      <c r="D239" s="17" t="str">
        <f t="array" ref="D239">_xlfn.SWITCH(E239,"Jatikalen","35.18.20","Kertosono", "35.18.08","Lengkong","35.18.19","Loceret","35.18.04","Tanjunganom","35.18.11","Wilangan","35.18.15")</f>
        <v>35.18.19</v>
      </c>
      <c r="E239" s="16" t="s">
        <v>64</v>
      </c>
      <c r="F239" s="17" t="s">
        <v>720</v>
      </c>
      <c r="G239" s="17" t="s">
        <v>721</v>
      </c>
      <c r="H239" s="16" t="s">
        <v>31</v>
      </c>
      <c r="I239" s="16">
        <v>10</v>
      </c>
      <c r="J239" s="16">
        <v>6</v>
      </c>
      <c r="K239" s="16">
        <f t="shared" si="3"/>
        <v>16</v>
      </c>
      <c r="L239" s="36">
        <v>17000000</v>
      </c>
      <c r="M239" s="17" t="s">
        <v>565</v>
      </c>
      <c r="N239" s="35" t="s">
        <v>722</v>
      </c>
      <c r="O239" s="16" t="s">
        <v>83</v>
      </c>
      <c r="P239" s="18">
        <v>34250000</v>
      </c>
      <c r="Q239" s="17" t="s">
        <v>34</v>
      </c>
      <c r="R239" s="35">
        <v>60</v>
      </c>
      <c r="S239" s="16" t="s">
        <v>83</v>
      </c>
      <c r="T239" s="36">
        <v>11000000</v>
      </c>
      <c r="U239" s="20" t="s">
        <v>22</v>
      </c>
      <c r="V239" s="16">
        <v>0</v>
      </c>
      <c r="W239" s="16">
        <v>0</v>
      </c>
      <c r="X239" s="16">
        <v>0</v>
      </c>
      <c r="Y239" s="16">
        <v>40</v>
      </c>
      <c r="Z239" s="16">
        <v>30</v>
      </c>
      <c r="AA239" s="16">
        <v>30</v>
      </c>
      <c r="AB239" s="16">
        <v>0</v>
      </c>
      <c r="AC239" s="16"/>
      <c r="AD239" s="22"/>
      <c r="AE239" s="23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</row>
    <row r="240" spans="1:84" s="2" customFormat="1" x14ac:dyDescent="0.2">
      <c r="A240" s="17" t="s">
        <v>3921</v>
      </c>
      <c r="B240" s="17" t="s">
        <v>45</v>
      </c>
      <c r="C240" s="17">
        <v>2025</v>
      </c>
      <c r="D240" s="17" t="str">
        <f t="array" ref="D240">_xlfn.SWITCH(E240,"Jatikalen","35.18.20","Kertosono", "35.18.08","Lengkong","35.18.19","Loceret","35.18.04","Tanjunganom","35.18.11","Wilangan","35.18.15")</f>
        <v>35.18.19</v>
      </c>
      <c r="E240" s="16" t="s">
        <v>64</v>
      </c>
      <c r="F240" s="17" t="s">
        <v>711</v>
      </c>
      <c r="G240" s="17" t="s">
        <v>723</v>
      </c>
      <c r="H240" s="16" t="s">
        <v>31</v>
      </c>
      <c r="I240" s="16">
        <v>12</v>
      </c>
      <c r="J240" s="16">
        <v>6</v>
      </c>
      <c r="K240" s="16">
        <f t="shared" si="3"/>
        <v>18</v>
      </c>
      <c r="L240" s="36">
        <v>18000000</v>
      </c>
      <c r="M240" s="17" t="s">
        <v>565</v>
      </c>
      <c r="N240" s="35">
        <v>11</v>
      </c>
      <c r="O240" s="16" t="s">
        <v>83</v>
      </c>
      <c r="P240" s="18">
        <v>36500000</v>
      </c>
      <c r="Q240" s="17" t="s">
        <v>34</v>
      </c>
      <c r="R240" s="35">
        <v>55</v>
      </c>
      <c r="S240" s="16" t="s">
        <v>83</v>
      </c>
      <c r="T240" s="36">
        <v>12400000</v>
      </c>
      <c r="U240" s="20" t="s">
        <v>22</v>
      </c>
      <c r="V240" s="16">
        <v>0</v>
      </c>
      <c r="W240" s="16">
        <v>0</v>
      </c>
      <c r="X240" s="16">
        <v>0</v>
      </c>
      <c r="Y240" s="16">
        <v>40</v>
      </c>
      <c r="Z240" s="16">
        <v>30</v>
      </c>
      <c r="AA240" s="16">
        <v>30</v>
      </c>
      <c r="AB240" s="16">
        <v>0</v>
      </c>
      <c r="AC240" s="16"/>
      <c r="AD240" s="22"/>
      <c r="AE240" s="23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</row>
    <row r="241" spans="1:84" s="2" customFormat="1" x14ac:dyDescent="0.2">
      <c r="A241" s="17" t="s">
        <v>3921</v>
      </c>
      <c r="B241" s="17" t="s">
        <v>45</v>
      </c>
      <c r="C241" s="17">
        <v>2025</v>
      </c>
      <c r="D241" s="17" t="str">
        <f t="array" ref="D241">_xlfn.SWITCH(E241,"Jatikalen","35.18.20","Kertosono", "35.18.08","Lengkong","35.18.19","Loceret","35.18.04","Tanjunganom","35.18.11","Wilangan","35.18.15")</f>
        <v>35.18.19</v>
      </c>
      <c r="E241" s="16" t="s">
        <v>64</v>
      </c>
      <c r="F241" s="17" t="s">
        <v>71</v>
      </c>
      <c r="G241" s="17" t="s">
        <v>724</v>
      </c>
      <c r="H241" s="16" t="s">
        <v>31</v>
      </c>
      <c r="I241" s="16">
        <v>16</v>
      </c>
      <c r="J241" s="16">
        <v>12</v>
      </c>
      <c r="K241" s="16">
        <f t="shared" si="3"/>
        <v>28</v>
      </c>
      <c r="L241" s="36">
        <v>14000000</v>
      </c>
      <c r="M241" s="17" t="s">
        <v>565</v>
      </c>
      <c r="N241" s="35" t="s">
        <v>713</v>
      </c>
      <c r="O241" s="16" t="s">
        <v>83</v>
      </c>
      <c r="P241" s="18">
        <v>70000000</v>
      </c>
      <c r="Q241" s="17" t="s">
        <v>34</v>
      </c>
      <c r="R241" s="35">
        <v>120</v>
      </c>
      <c r="S241" s="16" t="s">
        <v>83</v>
      </c>
      <c r="T241" s="36">
        <v>33000000</v>
      </c>
      <c r="U241" s="20" t="s">
        <v>22</v>
      </c>
      <c r="V241" s="16">
        <v>0</v>
      </c>
      <c r="W241" s="16">
        <v>0</v>
      </c>
      <c r="X241" s="16">
        <v>0</v>
      </c>
      <c r="Y241" s="16">
        <v>35</v>
      </c>
      <c r="Z241" s="16">
        <v>35</v>
      </c>
      <c r="AA241" s="16">
        <v>30</v>
      </c>
      <c r="AB241" s="16">
        <v>0</v>
      </c>
      <c r="AC241" s="16"/>
      <c r="AD241" s="22"/>
      <c r="AE241" s="23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</row>
    <row r="242" spans="1:84" s="2" customFormat="1" x14ac:dyDescent="0.2">
      <c r="A242" s="17" t="s">
        <v>3921</v>
      </c>
      <c r="B242" s="17" t="s">
        <v>45</v>
      </c>
      <c r="C242" s="17">
        <v>2025</v>
      </c>
      <c r="D242" s="17" t="str">
        <f t="array" ref="D242">_xlfn.SWITCH(E242,"Jatikalen","35.18.20","Kertosono", "35.18.08","Lengkong","35.18.19","Loceret","35.18.04","Tanjunganom","35.18.11","Wilangan","35.18.15")</f>
        <v>35.18.19</v>
      </c>
      <c r="E242" s="16" t="s">
        <v>64</v>
      </c>
      <c r="F242" s="17" t="s">
        <v>709</v>
      </c>
      <c r="G242" s="17" t="s">
        <v>725</v>
      </c>
      <c r="H242" s="16" t="s">
        <v>31</v>
      </c>
      <c r="I242" s="16">
        <v>19</v>
      </c>
      <c r="J242" s="16">
        <v>5</v>
      </c>
      <c r="K242" s="16">
        <f t="shared" si="3"/>
        <v>24</v>
      </c>
      <c r="L242" s="36">
        <v>16000000</v>
      </c>
      <c r="M242" s="17" t="s">
        <v>565</v>
      </c>
      <c r="N242" s="35" t="s">
        <v>726</v>
      </c>
      <c r="O242" s="16" t="s">
        <v>83</v>
      </c>
      <c r="P242" s="18">
        <v>27800000</v>
      </c>
      <c r="Q242" s="17" t="s">
        <v>34</v>
      </c>
      <c r="R242" s="35">
        <v>49</v>
      </c>
      <c r="S242" s="16" t="s">
        <v>83</v>
      </c>
      <c r="T242" s="36">
        <v>10500000</v>
      </c>
      <c r="U242" s="20" t="s">
        <v>22</v>
      </c>
      <c r="V242" s="16">
        <v>0</v>
      </c>
      <c r="W242" s="16">
        <v>0</v>
      </c>
      <c r="X242" s="16">
        <v>0</v>
      </c>
      <c r="Y242" s="16">
        <v>35</v>
      </c>
      <c r="Z242" s="16">
        <v>40</v>
      </c>
      <c r="AA242" s="16">
        <v>25</v>
      </c>
      <c r="AB242" s="16">
        <v>0</v>
      </c>
      <c r="AC242" s="16"/>
      <c r="AD242" s="22"/>
      <c r="AE242" s="23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</row>
    <row r="243" spans="1:84" s="2" customFormat="1" x14ac:dyDescent="0.2">
      <c r="A243" s="17" t="s">
        <v>3921</v>
      </c>
      <c r="B243" s="17" t="s">
        <v>45</v>
      </c>
      <c r="C243" s="17">
        <v>2025</v>
      </c>
      <c r="D243" s="17" t="str">
        <f t="array" ref="D243">_xlfn.SWITCH(E243,"Jatikalen","35.18.20","Kertosono", "35.18.08","Lengkong","35.18.19","Loceret","35.18.04","Tanjunganom","35.18.11","Wilangan","35.18.15")</f>
        <v>35.18.19</v>
      </c>
      <c r="E243" s="16" t="s">
        <v>64</v>
      </c>
      <c r="F243" s="17" t="s">
        <v>71</v>
      </c>
      <c r="G243" s="17" t="s">
        <v>727</v>
      </c>
      <c r="H243" s="16" t="s">
        <v>31</v>
      </c>
      <c r="I243" s="16">
        <v>11</v>
      </c>
      <c r="J243" s="16">
        <v>9</v>
      </c>
      <c r="K243" s="16">
        <f t="shared" si="3"/>
        <v>20</v>
      </c>
      <c r="L243" s="36">
        <v>19500000</v>
      </c>
      <c r="M243" s="17" t="s">
        <v>565</v>
      </c>
      <c r="N243" s="35">
        <v>14</v>
      </c>
      <c r="O243" s="16" t="s">
        <v>83</v>
      </c>
      <c r="P243" s="18">
        <v>48500000</v>
      </c>
      <c r="Q243" s="17" t="s">
        <v>34</v>
      </c>
      <c r="R243" s="35">
        <v>80</v>
      </c>
      <c r="S243" s="16" t="s">
        <v>83</v>
      </c>
      <c r="T243" s="36">
        <v>15000000</v>
      </c>
      <c r="U243" s="20" t="s">
        <v>22</v>
      </c>
      <c r="V243" s="16">
        <v>0</v>
      </c>
      <c r="W243" s="16">
        <v>0</v>
      </c>
      <c r="X243" s="16">
        <v>0</v>
      </c>
      <c r="Y243" s="16">
        <v>40</v>
      </c>
      <c r="Z243" s="16">
        <v>30</v>
      </c>
      <c r="AA243" s="16">
        <v>30</v>
      </c>
      <c r="AB243" s="16">
        <v>0</v>
      </c>
      <c r="AC243" s="16"/>
      <c r="AD243" s="22"/>
      <c r="AE243" s="23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</row>
    <row r="244" spans="1:84" s="2" customFormat="1" x14ac:dyDescent="0.2">
      <c r="A244" s="17" t="s">
        <v>3921</v>
      </c>
      <c r="B244" s="17" t="s">
        <v>45</v>
      </c>
      <c r="C244" s="17">
        <v>2025</v>
      </c>
      <c r="D244" s="17" t="str">
        <f t="array" ref="D244">_xlfn.SWITCH(E244,"Jatikalen","35.18.20","Kertosono", "35.18.08","Lengkong","35.18.19","Loceret","35.18.04","Tanjunganom","35.18.11","Wilangan","35.18.15")</f>
        <v>35.18.19</v>
      </c>
      <c r="E244" s="16" t="s">
        <v>64</v>
      </c>
      <c r="F244" s="17" t="s">
        <v>728</v>
      </c>
      <c r="G244" s="17" t="s">
        <v>729</v>
      </c>
      <c r="H244" s="16" t="s">
        <v>31</v>
      </c>
      <c r="I244" s="16">
        <v>20</v>
      </c>
      <c r="J244" s="16">
        <v>11</v>
      </c>
      <c r="K244" s="16">
        <f t="shared" si="3"/>
        <v>31</v>
      </c>
      <c r="L244" s="36">
        <v>12000000</v>
      </c>
      <c r="M244" s="17" t="s">
        <v>565</v>
      </c>
      <c r="N244" s="35" t="s">
        <v>730</v>
      </c>
      <c r="O244" s="16" t="s">
        <v>83</v>
      </c>
      <c r="P244" s="18">
        <v>90250000</v>
      </c>
      <c r="Q244" s="17" t="s">
        <v>34</v>
      </c>
      <c r="R244" s="35">
        <v>140</v>
      </c>
      <c r="S244" s="16" t="s">
        <v>83</v>
      </c>
      <c r="T244" s="36">
        <v>29000000</v>
      </c>
      <c r="U244" s="20" t="s">
        <v>22</v>
      </c>
      <c r="V244" s="16">
        <v>0</v>
      </c>
      <c r="W244" s="16">
        <v>0</v>
      </c>
      <c r="X244" s="16">
        <v>0</v>
      </c>
      <c r="Y244" s="16">
        <v>35</v>
      </c>
      <c r="Z244" s="16">
        <v>35</v>
      </c>
      <c r="AA244" s="16">
        <v>30</v>
      </c>
      <c r="AB244" s="16">
        <v>0</v>
      </c>
      <c r="AC244" s="16"/>
      <c r="AD244" s="22"/>
      <c r="AE244" s="23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</row>
    <row r="245" spans="1:84" s="2" customFormat="1" x14ac:dyDescent="0.2">
      <c r="A245" s="17" t="s">
        <v>3921</v>
      </c>
      <c r="B245" s="17" t="s">
        <v>45</v>
      </c>
      <c r="C245" s="17">
        <v>2025</v>
      </c>
      <c r="D245" s="17" t="str">
        <f t="array" ref="D245">_xlfn.SWITCH(E245,"Jatikalen","35.18.20","Kertosono", "35.18.08","Lengkong","35.18.19","Loceret","35.18.04","Tanjunganom","35.18.11","Wilangan","35.18.15")</f>
        <v>35.18.19</v>
      </c>
      <c r="E245" s="16" t="s">
        <v>64</v>
      </c>
      <c r="F245" s="17" t="s">
        <v>731</v>
      </c>
      <c r="G245" s="17" t="s">
        <v>732</v>
      </c>
      <c r="H245" s="16" t="s">
        <v>31</v>
      </c>
      <c r="I245" s="16">
        <v>10</v>
      </c>
      <c r="J245" s="16">
        <v>7</v>
      </c>
      <c r="K245" s="16">
        <f t="shared" si="3"/>
        <v>17</v>
      </c>
      <c r="L245" s="36">
        <v>10000000</v>
      </c>
      <c r="M245" s="17" t="s">
        <v>565</v>
      </c>
      <c r="N245" s="35" t="s">
        <v>722</v>
      </c>
      <c r="O245" s="16" t="s">
        <v>83</v>
      </c>
      <c r="P245" s="18">
        <v>33250000</v>
      </c>
      <c r="Q245" s="17" t="s">
        <v>34</v>
      </c>
      <c r="R245" s="35">
        <v>60</v>
      </c>
      <c r="S245" s="16" t="s">
        <v>83</v>
      </c>
      <c r="T245" s="36">
        <v>11000000</v>
      </c>
      <c r="U245" s="20" t="s">
        <v>22</v>
      </c>
      <c r="V245" s="16">
        <v>0</v>
      </c>
      <c r="W245" s="16">
        <v>0</v>
      </c>
      <c r="X245" s="16">
        <v>0</v>
      </c>
      <c r="Y245" s="16">
        <v>35</v>
      </c>
      <c r="Z245" s="16">
        <v>40</v>
      </c>
      <c r="AA245" s="16">
        <v>25</v>
      </c>
      <c r="AB245" s="16">
        <v>0</v>
      </c>
      <c r="AC245" s="16"/>
      <c r="AD245" s="22"/>
      <c r="AE245" s="23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</row>
    <row r="246" spans="1:84" s="2" customFormat="1" x14ac:dyDescent="0.2">
      <c r="A246" s="17" t="s">
        <v>3921</v>
      </c>
      <c r="B246" s="17" t="s">
        <v>45</v>
      </c>
      <c r="C246" s="17">
        <v>2025</v>
      </c>
      <c r="D246" s="17" t="str">
        <f t="array" ref="D246">_xlfn.SWITCH(E246,"Jatikalen","35.18.20","Kertosono", "35.18.08","Lengkong","35.18.19","Loceret","35.18.04","Tanjunganom","35.18.11","Wilangan","35.18.15")</f>
        <v>35.18.19</v>
      </c>
      <c r="E246" s="16" t="s">
        <v>64</v>
      </c>
      <c r="F246" s="17" t="s">
        <v>720</v>
      </c>
      <c r="G246" s="17" t="s">
        <v>733</v>
      </c>
      <c r="H246" s="16" t="s">
        <v>31</v>
      </c>
      <c r="I246" s="16">
        <v>11</v>
      </c>
      <c r="J246" s="16">
        <v>10</v>
      </c>
      <c r="K246" s="16">
        <f t="shared" si="3"/>
        <v>21</v>
      </c>
      <c r="L246" s="36">
        <v>12000000</v>
      </c>
      <c r="M246" s="17" t="s">
        <v>565</v>
      </c>
      <c r="N246" s="35">
        <v>13</v>
      </c>
      <c r="O246" s="16" t="s">
        <v>83</v>
      </c>
      <c r="P246" s="18">
        <v>43500000</v>
      </c>
      <c r="Q246" s="17" t="s">
        <v>34</v>
      </c>
      <c r="R246" s="35">
        <v>75</v>
      </c>
      <c r="S246" s="16" t="s">
        <v>83</v>
      </c>
      <c r="T246" s="36">
        <v>16250000</v>
      </c>
      <c r="U246" s="20" t="s">
        <v>22</v>
      </c>
      <c r="V246" s="16">
        <v>0</v>
      </c>
      <c r="W246" s="16">
        <v>0</v>
      </c>
      <c r="X246" s="16">
        <v>0</v>
      </c>
      <c r="Y246" s="16">
        <v>40</v>
      </c>
      <c r="Z246" s="16">
        <v>30</v>
      </c>
      <c r="AA246" s="16">
        <v>30</v>
      </c>
      <c r="AB246" s="16">
        <v>0</v>
      </c>
      <c r="AC246" s="16"/>
      <c r="AD246" s="22"/>
      <c r="AE246" s="23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</row>
    <row r="247" spans="1:84" s="2" customFormat="1" x14ac:dyDescent="0.2">
      <c r="A247" s="17" t="s">
        <v>3921</v>
      </c>
      <c r="B247" s="17" t="s">
        <v>45</v>
      </c>
      <c r="C247" s="17">
        <v>2025</v>
      </c>
      <c r="D247" s="17" t="str">
        <f t="array" ref="D247">_xlfn.SWITCH(E247,"Jatikalen","35.18.20","Kertosono", "35.18.08","Lengkong","35.18.19","Loceret","35.18.04","Tanjunganom","35.18.11","Wilangan","35.18.15")</f>
        <v>35.18.19</v>
      </c>
      <c r="E247" s="16" t="s">
        <v>64</v>
      </c>
      <c r="F247" s="17" t="s">
        <v>707</v>
      </c>
      <c r="G247" s="17" t="s">
        <v>734</v>
      </c>
      <c r="H247" s="16" t="s">
        <v>31</v>
      </c>
      <c r="I247" s="16">
        <v>19</v>
      </c>
      <c r="J247" s="16">
        <v>6</v>
      </c>
      <c r="K247" s="16">
        <f t="shared" si="3"/>
        <v>25</v>
      </c>
      <c r="L247" s="36">
        <v>18000000</v>
      </c>
      <c r="M247" s="17" t="s">
        <v>565</v>
      </c>
      <c r="N247" s="35" t="s">
        <v>722</v>
      </c>
      <c r="O247" s="16" t="s">
        <v>83</v>
      </c>
      <c r="P247" s="18">
        <v>33000000</v>
      </c>
      <c r="Q247" s="17" t="s">
        <v>34</v>
      </c>
      <c r="R247" s="35">
        <v>60</v>
      </c>
      <c r="S247" s="16" t="s">
        <v>83</v>
      </c>
      <c r="T247" s="36">
        <v>12000000</v>
      </c>
      <c r="U247" s="20" t="s">
        <v>22</v>
      </c>
      <c r="V247" s="16">
        <v>0</v>
      </c>
      <c r="W247" s="16">
        <v>0</v>
      </c>
      <c r="X247" s="16">
        <v>0</v>
      </c>
      <c r="Y247" s="16">
        <v>35</v>
      </c>
      <c r="Z247" s="16">
        <v>35</v>
      </c>
      <c r="AA247" s="16">
        <v>30</v>
      </c>
      <c r="AB247" s="16">
        <v>0</v>
      </c>
      <c r="AC247" s="16"/>
      <c r="AD247" s="22"/>
      <c r="AE247" s="23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</row>
    <row r="248" spans="1:84" s="2" customFormat="1" x14ac:dyDescent="0.2">
      <c r="A248" s="17" t="s">
        <v>3921</v>
      </c>
      <c r="B248" s="17" t="s">
        <v>45</v>
      </c>
      <c r="C248" s="17">
        <v>2025</v>
      </c>
      <c r="D248" s="17" t="str">
        <f t="array" ref="D248">_xlfn.SWITCH(E248,"Jatikalen","35.18.20","Kertosono", "35.18.08","Lengkong","35.18.19","Loceret","35.18.04","Tanjunganom","35.18.11","Wilangan","35.18.15")</f>
        <v>35.18.19</v>
      </c>
      <c r="E248" s="16" t="s">
        <v>64</v>
      </c>
      <c r="F248" s="17" t="s">
        <v>735</v>
      </c>
      <c r="G248" s="17" t="s">
        <v>736</v>
      </c>
      <c r="H248" s="16" t="s">
        <v>31</v>
      </c>
      <c r="I248" s="16">
        <v>18</v>
      </c>
      <c r="J248" s="16">
        <v>7</v>
      </c>
      <c r="K248" s="16">
        <f t="shared" si="3"/>
        <v>25</v>
      </c>
      <c r="L248" s="36">
        <v>18000000</v>
      </c>
      <c r="M248" s="17" t="s">
        <v>565</v>
      </c>
      <c r="N248" s="35" t="s">
        <v>722</v>
      </c>
      <c r="O248" s="16" t="s">
        <v>83</v>
      </c>
      <c r="P248" s="18">
        <v>32500000</v>
      </c>
      <c r="Q248" s="17" t="s">
        <v>34</v>
      </c>
      <c r="R248" s="35">
        <v>60</v>
      </c>
      <c r="S248" s="16" t="s">
        <v>83</v>
      </c>
      <c r="T248" s="36">
        <v>12000000</v>
      </c>
      <c r="U248" s="20" t="s">
        <v>22</v>
      </c>
      <c r="V248" s="16">
        <v>0</v>
      </c>
      <c r="W248" s="16">
        <v>0</v>
      </c>
      <c r="X248" s="16">
        <v>0</v>
      </c>
      <c r="Y248" s="16">
        <v>35</v>
      </c>
      <c r="Z248" s="16">
        <v>40</v>
      </c>
      <c r="AA248" s="16">
        <v>25</v>
      </c>
      <c r="AB248" s="16">
        <v>0</v>
      </c>
      <c r="AC248" s="16"/>
      <c r="AD248" s="22"/>
      <c r="AE248" s="23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</row>
    <row r="249" spans="1:84" s="2" customFormat="1" x14ac:dyDescent="0.2">
      <c r="A249" s="17" t="s">
        <v>3921</v>
      </c>
      <c r="B249" s="17" t="s">
        <v>45</v>
      </c>
      <c r="C249" s="17">
        <v>2025</v>
      </c>
      <c r="D249" s="17" t="str">
        <f t="array" ref="D249">_xlfn.SWITCH(E249,"Jatikalen","35.18.20","Kertosono", "35.18.08","Lengkong","35.18.19","Loceret","35.18.04","Tanjunganom","35.18.11","Wilangan","35.18.15")</f>
        <v>35.18.19</v>
      </c>
      <c r="E249" s="16" t="s">
        <v>64</v>
      </c>
      <c r="F249" s="17" t="s">
        <v>63</v>
      </c>
      <c r="G249" s="17" t="s">
        <v>737</v>
      </c>
      <c r="H249" s="16" t="s">
        <v>31</v>
      </c>
      <c r="I249" s="16">
        <v>25</v>
      </c>
      <c r="J249" s="16">
        <v>10</v>
      </c>
      <c r="K249" s="16">
        <f t="shared" si="3"/>
        <v>35</v>
      </c>
      <c r="L249" s="36">
        <v>15000000</v>
      </c>
      <c r="M249" s="17" t="s">
        <v>565</v>
      </c>
      <c r="N249" s="35">
        <v>26</v>
      </c>
      <c r="O249" s="16" t="s">
        <v>83</v>
      </c>
      <c r="P249" s="18">
        <v>90000000</v>
      </c>
      <c r="Q249" s="17" t="s">
        <v>34</v>
      </c>
      <c r="R249" s="35">
        <v>150</v>
      </c>
      <c r="S249" s="16" t="s">
        <v>83</v>
      </c>
      <c r="T249" s="36">
        <v>25500000</v>
      </c>
      <c r="U249" s="20" t="s">
        <v>22</v>
      </c>
      <c r="V249" s="16">
        <v>0</v>
      </c>
      <c r="W249" s="16">
        <v>0</v>
      </c>
      <c r="X249" s="16">
        <v>0</v>
      </c>
      <c r="Y249" s="16">
        <v>50</v>
      </c>
      <c r="Z249" s="16">
        <v>30</v>
      </c>
      <c r="AA249" s="16">
        <v>20</v>
      </c>
      <c r="AB249" s="16">
        <v>0</v>
      </c>
      <c r="AC249" s="16"/>
      <c r="AD249" s="22"/>
      <c r="AE249" s="23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</row>
    <row r="250" spans="1:84" s="2" customFormat="1" x14ac:dyDescent="0.2">
      <c r="A250" s="17" t="s">
        <v>3921</v>
      </c>
      <c r="B250" s="17" t="s">
        <v>45</v>
      </c>
      <c r="C250" s="17">
        <v>2025</v>
      </c>
      <c r="D250" s="17" t="str">
        <f t="array" ref="D250">_xlfn.SWITCH(E250,"Jatikalen","35.18.20","Kertosono", "35.18.08","Lengkong","35.18.19","Loceret","35.18.04","Tanjunganom","35.18.11","Wilangan","35.18.15")</f>
        <v>35.18.04</v>
      </c>
      <c r="E250" s="16" t="s">
        <v>41</v>
      </c>
      <c r="F250" s="17" t="s">
        <v>379</v>
      </c>
      <c r="G250" s="17" t="s">
        <v>738</v>
      </c>
      <c r="H250" s="16" t="s">
        <v>31</v>
      </c>
      <c r="I250" s="16">
        <v>1</v>
      </c>
      <c r="J250" s="16">
        <v>6</v>
      </c>
      <c r="K250" s="16">
        <f t="shared" si="3"/>
        <v>7</v>
      </c>
      <c r="L250" s="36">
        <v>150000000</v>
      </c>
      <c r="M250" s="17" t="s">
        <v>48</v>
      </c>
      <c r="N250" s="35">
        <v>20</v>
      </c>
      <c r="O250" s="16" t="s">
        <v>211</v>
      </c>
      <c r="P250" s="30">
        <v>8160000</v>
      </c>
      <c r="Q250" s="17" t="s">
        <v>57</v>
      </c>
      <c r="R250" s="35" t="s">
        <v>739</v>
      </c>
      <c r="S250" s="16" t="s">
        <v>51</v>
      </c>
      <c r="T250" s="36">
        <v>4450000</v>
      </c>
      <c r="U250" s="20" t="s">
        <v>22</v>
      </c>
      <c r="V250" s="16" t="s">
        <v>52</v>
      </c>
      <c r="W250" s="16">
        <v>100</v>
      </c>
      <c r="X250" s="16" t="s">
        <v>53</v>
      </c>
      <c r="Y250" s="16">
        <v>70</v>
      </c>
      <c r="Z250" s="16">
        <v>30</v>
      </c>
      <c r="AA250" s="16">
        <v>0</v>
      </c>
      <c r="AB250" s="16">
        <v>0</v>
      </c>
      <c r="AC250" s="16"/>
      <c r="AD250" s="22"/>
      <c r="AE250" s="23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</row>
    <row r="251" spans="1:84" s="2" customFormat="1" x14ac:dyDescent="0.2">
      <c r="A251" s="17" t="s">
        <v>3921</v>
      </c>
      <c r="B251" s="17" t="s">
        <v>45</v>
      </c>
      <c r="C251" s="17">
        <v>2025</v>
      </c>
      <c r="D251" s="17" t="str">
        <f t="array" ref="D251">_xlfn.SWITCH(E251,"Jatikalen","35.18.20","Kertosono", "35.18.08","Lengkong","35.18.19","Loceret","35.18.04","Tanjunganom","35.18.11","Wilangan","35.18.15")</f>
        <v>35.18.04</v>
      </c>
      <c r="E251" s="16" t="s">
        <v>41</v>
      </c>
      <c r="F251" s="17" t="s">
        <v>41</v>
      </c>
      <c r="G251" s="17" t="s">
        <v>740</v>
      </c>
      <c r="H251" s="16" t="s">
        <v>31</v>
      </c>
      <c r="I251" s="16">
        <v>80</v>
      </c>
      <c r="J251" s="16">
        <v>13</v>
      </c>
      <c r="K251" s="16">
        <f t="shared" si="3"/>
        <v>93</v>
      </c>
      <c r="L251" s="36">
        <v>230000000</v>
      </c>
      <c r="M251" s="17" t="s">
        <v>741</v>
      </c>
      <c r="N251" s="35">
        <v>121</v>
      </c>
      <c r="O251" s="16" t="s">
        <v>83</v>
      </c>
      <c r="P251" s="30">
        <v>151250000</v>
      </c>
      <c r="Q251" s="17" t="s">
        <v>159</v>
      </c>
      <c r="R251" s="35">
        <v>125</v>
      </c>
      <c r="S251" s="16" t="s">
        <v>83</v>
      </c>
      <c r="T251" s="36">
        <v>90000000</v>
      </c>
      <c r="U251" s="20" t="s">
        <v>22</v>
      </c>
      <c r="V251" s="16" t="s">
        <v>50</v>
      </c>
      <c r="W251" s="16">
        <v>1250</v>
      </c>
      <c r="X251" s="16" t="s">
        <v>51</v>
      </c>
      <c r="Y251" s="16">
        <v>65</v>
      </c>
      <c r="Z251" s="16">
        <v>35</v>
      </c>
      <c r="AA251" s="16">
        <v>0</v>
      </c>
      <c r="AB251" s="16">
        <v>0</v>
      </c>
      <c r="AC251" s="16"/>
      <c r="AD251" s="22"/>
      <c r="AE251" s="23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</row>
    <row r="252" spans="1:84" s="2" customFormat="1" x14ac:dyDescent="0.2">
      <c r="A252" s="17" t="s">
        <v>3921</v>
      </c>
      <c r="B252" s="17" t="s">
        <v>45</v>
      </c>
      <c r="C252" s="17">
        <v>2025</v>
      </c>
      <c r="D252" s="17" t="str">
        <f t="array" ref="D252">_xlfn.SWITCH(E252,"Jatikalen","35.18.20","Kertosono", "35.18.08","Lengkong","35.18.19","Loceret","35.18.04","Tanjunganom","35.18.11","Wilangan","35.18.15")</f>
        <v>35.18.04</v>
      </c>
      <c r="E252" s="16" t="s">
        <v>41</v>
      </c>
      <c r="F252" s="17" t="s">
        <v>379</v>
      </c>
      <c r="G252" s="17" t="s">
        <v>107</v>
      </c>
      <c r="H252" s="16" t="s">
        <v>47</v>
      </c>
      <c r="I252" s="16">
        <v>1</v>
      </c>
      <c r="J252" s="16">
        <v>13</v>
      </c>
      <c r="K252" s="16">
        <f t="shared" si="3"/>
        <v>14</v>
      </c>
      <c r="L252" s="36">
        <v>200000000</v>
      </c>
      <c r="M252" s="17" t="s">
        <v>48</v>
      </c>
      <c r="N252" s="35">
        <v>60</v>
      </c>
      <c r="O252" s="16" t="s">
        <v>211</v>
      </c>
      <c r="P252" s="30">
        <v>22196000</v>
      </c>
      <c r="Q252" s="17" t="s">
        <v>57</v>
      </c>
      <c r="R252" s="35">
        <v>22</v>
      </c>
      <c r="S252" s="16" t="s">
        <v>51</v>
      </c>
      <c r="T252" s="36">
        <v>13250000</v>
      </c>
      <c r="U252" s="20" t="s">
        <v>22</v>
      </c>
      <c r="V252" s="16" t="s">
        <v>52</v>
      </c>
      <c r="W252" s="16">
        <v>220</v>
      </c>
      <c r="X252" s="16" t="s">
        <v>53</v>
      </c>
      <c r="Y252" s="16">
        <v>70</v>
      </c>
      <c r="Z252" s="16">
        <v>30</v>
      </c>
      <c r="AA252" s="16">
        <v>0</v>
      </c>
      <c r="AB252" s="16">
        <v>0</v>
      </c>
      <c r="AC252" s="16"/>
      <c r="AD252" s="22"/>
      <c r="AE252" s="23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</row>
    <row r="253" spans="1:84" s="2" customFormat="1" x14ac:dyDescent="0.2">
      <c r="A253" s="17" t="s">
        <v>3921</v>
      </c>
      <c r="B253" s="17" t="s">
        <v>45</v>
      </c>
      <c r="C253" s="17">
        <v>2025</v>
      </c>
      <c r="D253" s="17" t="str">
        <f t="array" ref="D253">_xlfn.SWITCH(E253,"Jatikalen","35.18.20","Kertosono", "35.18.08","Lengkong","35.18.19","Loceret","35.18.04","Tanjunganom","35.18.11","Wilangan","35.18.15")</f>
        <v>35.18.04</v>
      </c>
      <c r="E253" s="16" t="s">
        <v>41</v>
      </c>
      <c r="F253" s="17" t="s">
        <v>379</v>
      </c>
      <c r="G253" s="17" t="s">
        <v>742</v>
      </c>
      <c r="H253" s="16" t="s">
        <v>47</v>
      </c>
      <c r="I253" s="16">
        <v>2</v>
      </c>
      <c r="J253" s="16">
        <v>18</v>
      </c>
      <c r="K253" s="16">
        <f t="shared" si="3"/>
        <v>20</v>
      </c>
      <c r="L253" s="36">
        <v>150000000</v>
      </c>
      <c r="M253" s="17" t="s">
        <v>48</v>
      </c>
      <c r="N253" s="35">
        <v>51</v>
      </c>
      <c r="O253" s="16" t="s">
        <v>211</v>
      </c>
      <c r="P253" s="30">
        <v>19500000</v>
      </c>
      <c r="Q253" s="17" t="s">
        <v>57</v>
      </c>
      <c r="R253" s="35" t="s">
        <v>654</v>
      </c>
      <c r="S253" s="16" t="s">
        <v>51</v>
      </c>
      <c r="T253" s="36">
        <v>9041000</v>
      </c>
      <c r="U253" s="20" t="s">
        <v>22</v>
      </c>
      <c r="V253" s="16" t="s">
        <v>52</v>
      </c>
      <c r="W253" s="16">
        <v>185</v>
      </c>
      <c r="X253" s="16" t="s">
        <v>53</v>
      </c>
      <c r="Y253" s="16">
        <v>60</v>
      </c>
      <c r="Z253" s="16">
        <v>40</v>
      </c>
      <c r="AA253" s="16">
        <v>0</v>
      </c>
      <c r="AB253" s="16">
        <v>0</v>
      </c>
      <c r="AC253" s="16"/>
      <c r="AD253" s="22"/>
      <c r="AE253" s="23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</row>
    <row r="254" spans="1:84" s="2" customFormat="1" x14ac:dyDescent="0.2">
      <c r="A254" s="17" t="s">
        <v>3921</v>
      </c>
      <c r="B254" s="17" t="s">
        <v>45</v>
      </c>
      <c r="C254" s="17">
        <v>2025</v>
      </c>
      <c r="D254" s="17" t="str">
        <f t="array" ref="D254">_xlfn.SWITCH(E254,"Jatikalen","35.18.20","Kertosono", "35.18.08","Lengkong","35.18.19","Loceret","35.18.04","Tanjunganom","35.18.11","Wilangan","35.18.15")</f>
        <v>35.18.04</v>
      </c>
      <c r="E254" s="16" t="s">
        <v>41</v>
      </c>
      <c r="F254" s="17" t="s">
        <v>379</v>
      </c>
      <c r="G254" s="17" t="s">
        <v>743</v>
      </c>
      <c r="H254" s="16" t="s">
        <v>31</v>
      </c>
      <c r="I254" s="16">
        <v>1</v>
      </c>
      <c r="J254" s="16">
        <v>12</v>
      </c>
      <c r="K254" s="16">
        <f t="shared" si="3"/>
        <v>13</v>
      </c>
      <c r="L254" s="36">
        <v>100000000</v>
      </c>
      <c r="M254" s="17" t="s">
        <v>48</v>
      </c>
      <c r="N254" s="35">
        <v>40</v>
      </c>
      <c r="O254" s="16" t="s">
        <v>211</v>
      </c>
      <c r="P254" s="30">
        <v>17604000</v>
      </c>
      <c r="Q254" s="17" t="s">
        <v>57</v>
      </c>
      <c r="R254" s="35" t="s">
        <v>541</v>
      </c>
      <c r="S254" s="16" t="s">
        <v>51</v>
      </c>
      <c r="T254" s="36">
        <v>8850000</v>
      </c>
      <c r="U254" s="20" t="s">
        <v>22</v>
      </c>
      <c r="V254" s="16" t="s">
        <v>52</v>
      </c>
      <c r="W254" s="16">
        <v>150</v>
      </c>
      <c r="X254" s="16" t="s">
        <v>53</v>
      </c>
      <c r="Y254" s="16">
        <v>75</v>
      </c>
      <c r="Z254" s="16">
        <v>25</v>
      </c>
      <c r="AA254" s="16">
        <v>0</v>
      </c>
      <c r="AB254" s="16">
        <v>0</v>
      </c>
      <c r="AC254" s="16"/>
      <c r="AD254" s="22"/>
      <c r="AE254" s="23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</row>
    <row r="255" spans="1:84" s="2" customFormat="1" x14ac:dyDescent="0.2">
      <c r="A255" s="17" t="s">
        <v>3921</v>
      </c>
      <c r="B255" s="17" t="s">
        <v>45</v>
      </c>
      <c r="C255" s="17">
        <v>2025</v>
      </c>
      <c r="D255" s="17" t="str">
        <f t="array" ref="D255">_xlfn.SWITCH(E255,"Jatikalen","35.18.20","Kertosono", "35.18.08","Lengkong","35.18.19","Loceret","35.18.04","Tanjunganom","35.18.11","Wilangan","35.18.15")</f>
        <v>35.18.04</v>
      </c>
      <c r="E255" s="16" t="s">
        <v>41</v>
      </c>
      <c r="F255" s="17" t="s">
        <v>379</v>
      </c>
      <c r="G255" s="17" t="s">
        <v>744</v>
      </c>
      <c r="H255" s="16" t="s">
        <v>31</v>
      </c>
      <c r="I255" s="16">
        <v>2</v>
      </c>
      <c r="J255" s="16">
        <v>7</v>
      </c>
      <c r="K255" s="16">
        <f t="shared" si="3"/>
        <v>9</v>
      </c>
      <c r="L255" s="36">
        <v>18500000</v>
      </c>
      <c r="M255" s="17" t="s">
        <v>487</v>
      </c>
      <c r="N255" s="35">
        <v>7</v>
      </c>
      <c r="O255" s="16" t="s">
        <v>83</v>
      </c>
      <c r="P255" s="30">
        <v>96000000</v>
      </c>
      <c r="Q255" s="17" t="s">
        <v>488</v>
      </c>
      <c r="R255" s="35">
        <v>8</v>
      </c>
      <c r="S255" s="16" t="s">
        <v>83</v>
      </c>
      <c r="T255" s="36">
        <v>55000000</v>
      </c>
      <c r="U255" s="20" t="s">
        <v>22</v>
      </c>
      <c r="V255" s="16">
        <v>0</v>
      </c>
      <c r="W255" s="16">
        <v>0</v>
      </c>
      <c r="X255" s="16">
        <v>0</v>
      </c>
      <c r="Y255" s="16">
        <v>100</v>
      </c>
      <c r="Z255" s="16">
        <v>0</v>
      </c>
      <c r="AA255" s="16">
        <v>0</v>
      </c>
      <c r="AB255" s="16">
        <v>0</v>
      </c>
      <c r="AC255" s="16"/>
      <c r="AD255" s="22"/>
      <c r="AE255" s="23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</row>
    <row r="256" spans="1:84" s="2" customFormat="1" x14ac:dyDescent="0.2">
      <c r="A256" s="17" t="s">
        <v>3921</v>
      </c>
      <c r="B256" s="17" t="s">
        <v>45</v>
      </c>
      <c r="C256" s="17">
        <v>2025</v>
      </c>
      <c r="D256" s="17" t="str">
        <f t="array" ref="D256">_xlfn.SWITCH(E256,"Jatikalen","35.18.20","Kertosono", "35.18.08","Lengkong","35.18.19","Loceret","35.18.04","Tanjunganom","35.18.11","Wilangan","35.18.15")</f>
        <v>35.18.04</v>
      </c>
      <c r="E256" s="16" t="s">
        <v>41</v>
      </c>
      <c r="F256" s="17" t="s">
        <v>387</v>
      </c>
      <c r="G256" s="17" t="s">
        <v>745</v>
      </c>
      <c r="H256" s="16" t="s">
        <v>47</v>
      </c>
      <c r="I256" s="16">
        <v>5</v>
      </c>
      <c r="J256" s="16">
        <v>10</v>
      </c>
      <c r="K256" s="16">
        <f t="shared" si="3"/>
        <v>15</v>
      </c>
      <c r="L256" s="36">
        <v>150000000</v>
      </c>
      <c r="M256" s="17" t="s">
        <v>258</v>
      </c>
      <c r="N256" s="35">
        <v>15000</v>
      </c>
      <c r="O256" s="16" t="s">
        <v>259</v>
      </c>
      <c r="P256" s="30">
        <v>430000000</v>
      </c>
      <c r="Q256" s="17" t="s">
        <v>746</v>
      </c>
      <c r="R256" s="35">
        <v>224600</v>
      </c>
      <c r="S256" s="16" t="s">
        <v>268</v>
      </c>
      <c r="T256" s="36">
        <v>215800000</v>
      </c>
      <c r="U256" s="20" t="s">
        <v>22</v>
      </c>
      <c r="V256" s="16">
        <v>0</v>
      </c>
      <c r="W256" s="16">
        <v>0</v>
      </c>
      <c r="X256" s="16">
        <v>0</v>
      </c>
      <c r="Y256" s="16">
        <v>40</v>
      </c>
      <c r="Z256" s="16">
        <v>30</v>
      </c>
      <c r="AA256" s="16">
        <v>30</v>
      </c>
      <c r="AB256" s="16">
        <v>0</v>
      </c>
      <c r="AC256" s="26" t="s">
        <v>747</v>
      </c>
      <c r="AD256" s="32" t="s">
        <v>748</v>
      </c>
      <c r="AE256" s="23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</row>
    <row r="257" spans="1:84" s="2" customFormat="1" x14ac:dyDescent="0.2">
      <c r="A257" s="17" t="s">
        <v>3921</v>
      </c>
      <c r="B257" s="17" t="s">
        <v>45</v>
      </c>
      <c r="C257" s="17">
        <v>2025</v>
      </c>
      <c r="D257" s="17" t="str">
        <f t="array" ref="D257">_xlfn.SWITCH(E257,"Bagor","35.18.14","Sukomoro",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257" s="16" t="s">
        <v>45</v>
      </c>
      <c r="F257" s="33" t="s">
        <v>749</v>
      </c>
      <c r="G257" s="17" t="s">
        <v>750</v>
      </c>
      <c r="H257" s="16" t="s">
        <v>47</v>
      </c>
      <c r="I257" s="16">
        <v>6</v>
      </c>
      <c r="J257" s="16">
        <v>5</v>
      </c>
      <c r="K257" s="16">
        <f t="shared" si="3"/>
        <v>11</v>
      </c>
      <c r="L257" s="36">
        <v>150000000</v>
      </c>
      <c r="M257" s="17" t="s">
        <v>258</v>
      </c>
      <c r="N257" s="35">
        <v>15000</v>
      </c>
      <c r="O257" s="16" t="s">
        <v>259</v>
      </c>
      <c r="P257" s="30">
        <v>435000000</v>
      </c>
      <c r="Q257" s="17" t="s">
        <v>746</v>
      </c>
      <c r="R257" s="35">
        <v>224600</v>
      </c>
      <c r="S257" s="16" t="s">
        <v>268</v>
      </c>
      <c r="T257" s="36">
        <v>215800000</v>
      </c>
      <c r="U257" s="20" t="s">
        <v>22</v>
      </c>
      <c r="V257" s="16">
        <v>0</v>
      </c>
      <c r="W257" s="16">
        <v>0</v>
      </c>
      <c r="X257" s="16">
        <v>0</v>
      </c>
      <c r="Y257" s="16">
        <v>40</v>
      </c>
      <c r="Z257" s="16">
        <v>30</v>
      </c>
      <c r="AA257" s="16">
        <v>30</v>
      </c>
      <c r="AB257" s="16">
        <v>0</v>
      </c>
      <c r="AC257" s="16"/>
      <c r="AD257" s="24">
        <v>2002</v>
      </c>
      <c r="AE257" s="23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</row>
    <row r="258" spans="1:84" s="2" customFormat="1" x14ac:dyDescent="0.2">
      <c r="A258" s="17" t="s">
        <v>3921</v>
      </c>
      <c r="B258" s="17" t="s">
        <v>45</v>
      </c>
      <c r="C258" s="17">
        <v>2025</v>
      </c>
      <c r="D258" s="17" t="str">
        <f t="array" ref="D258">_xlfn.SWITCH(E258,"Jatikalen","35.18.20","Kertosono", "35.18.08","Lengkong","35.18.19","Loceret","35.18.04","Tanjunganom","35.18.11","Wilangan","35.18.15")</f>
        <v>35.18.04</v>
      </c>
      <c r="E258" s="16" t="s">
        <v>41</v>
      </c>
      <c r="F258" s="17" t="s">
        <v>41</v>
      </c>
      <c r="G258" s="17" t="s">
        <v>751</v>
      </c>
      <c r="H258" s="16" t="s">
        <v>81</v>
      </c>
      <c r="I258" s="16">
        <v>2</v>
      </c>
      <c r="J258" s="16">
        <v>27</v>
      </c>
      <c r="K258" s="16">
        <f t="shared" si="3"/>
        <v>29</v>
      </c>
      <c r="L258" s="36">
        <v>300000000</v>
      </c>
      <c r="M258" s="17" t="s">
        <v>752</v>
      </c>
      <c r="N258" s="35">
        <v>2000</v>
      </c>
      <c r="O258" s="16" t="s">
        <v>51</v>
      </c>
      <c r="P258" s="30">
        <v>3560520000</v>
      </c>
      <c r="Q258" s="17" t="s">
        <v>57</v>
      </c>
      <c r="R258" s="35">
        <v>2100</v>
      </c>
      <c r="S258" s="16" t="s">
        <v>51</v>
      </c>
      <c r="T258" s="36">
        <v>1844800000</v>
      </c>
      <c r="U258" s="20" t="s">
        <v>22</v>
      </c>
      <c r="V258" s="16" t="s">
        <v>52</v>
      </c>
      <c r="W258" s="16">
        <v>500</v>
      </c>
      <c r="X258" s="16" t="s">
        <v>53</v>
      </c>
      <c r="Y258" s="16">
        <v>70</v>
      </c>
      <c r="Z258" s="16">
        <v>30</v>
      </c>
      <c r="AA258" s="16">
        <v>0</v>
      </c>
      <c r="AB258" s="16">
        <v>0</v>
      </c>
      <c r="AC258" s="26"/>
      <c r="AD258" s="50">
        <v>39303</v>
      </c>
      <c r="AE258" s="23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</row>
    <row r="259" spans="1:84" s="2" customFormat="1" x14ac:dyDescent="0.2">
      <c r="A259" s="17" t="s">
        <v>3921</v>
      </c>
      <c r="B259" s="17" t="s">
        <v>45</v>
      </c>
      <c r="C259" s="17">
        <v>2025</v>
      </c>
      <c r="D259" s="17" t="str">
        <f t="array" ref="D259">_xlfn.SWITCH(E259,"Jatikalen","35.18.20","Kertosono", "35.18.08","Lengkong","35.18.19","Loceret","35.18.04","Tanjunganom","35.18.11","Wilangan","35.18.15")</f>
        <v>35.18.04</v>
      </c>
      <c r="E259" s="16" t="s">
        <v>41</v>
      </c>
      <c r="F259" s="17" t="s">
        <v>379</v>
      </c>
      <c r="G259" s="17" t="s">
        <v>753</v>
      </c>
      <c r="H259" s="16" t="s">
        <v>31</v>
      </c>
      <c r="I259" s="16">
        <v>3</v>
      </c>
      <c r="J259" s="16">
        <v>40</v>
      </c>
      <c r="K259" s="16">
        <f t="shared" ref="K259:K280" si="4">J259+I259</f>
        <v>43</v>
      </c>
      <c r="L259" s="36">
        <v>37455000</v>
      </c>
      <c r="M259" s="17" t="s">
        <v>752</v>
      </c>
      <c r="N259" s="35">
        <v>420</v>
      </c>
      <c r="O259" s="16" t="s">
        <v>51</v>
      </c>
      <c r="P259" s="30">
        <v>784080000</v>
      </c>
      <c r="Q259" s="17" t="s">
        <v>57</v>
      </c>
      <c r="R259" s="35">
        <v>440</v>
      </c>
      <c r="S259" s="16" t="s">
        <v>51</v>
      </c>
      <c r="T259" s="36">
        <v>327772000</v>
      </c>
      <c r="U259" s="20" t="s">
        <v>22</v>
      </c>
      <c r="V259" s="16" t="s">
        <v>52</v>
      </c>
      <c r="W259" s="16">
        <v>650</v>
      </c>
      <c r="X259" s="16" t="s">
        <v>53</v>
      </c>
      <c r="Y259" s="16">
        <v>75</v>
      </c>
      <c r="Z259" s="16">
        <v>25</v>
      </c>
      <c r="AA259" s="16">
        <v>0</v>
      </c>
      <c r="AB259" s="16">
        <v>0</v>
      </c>
      <c r="AC259" s="16"/>
      <c r="AD259" s="22"/>
      <c r="AE259" s="23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</row>
    <row r="260" spans="1:84" s="2" customFormat="1" x14ac:dyDescent="0.2">
      <c r="A260" s="17" t="s">
        <v>3921</v>
      </c>
      <c r="B260" s="17" t="s">
        <v>45</v>
      </c>
      <c r="C260" s="17">
        <v>2025</v>
      </c>
      <c r="D260" s="17" t="str">
        <f t="array" ref="D260">_xlfn.SWITCH(E260,"Jatikalen","35.18.20","Kertosono", "35.18.08","Lengkong","35.18.19","Loceret","35.18.04","Tanjunganom","35.18.11","Wilangan","35.18.15")</f>
        <v>35.18.04</v>
      </c>
      <c r="E260" s="16" t="s">
        <v>41</v>
      </c>
      <c r="F260" s="17" t="s">
        <v>754</v>
      </c>
      <c r="G260" s="17" t="s">
        <v>755</v>
      </c>
      <c r="H260" s="16" t="s">
        <v>31</v>
      </c>
      <c r="I260" s="16">
        <v>36</v>
      </c>
      <c r="J260" s="16">
        <v>12</v>
      </c>
      <c r="K260" s="16">
        <f t="shared" si="4"/>
        <v>48</v>
      </c>
      <c r="L260" s="36">
        <v>19500000</v>
      </c>
      <c r="M260" s="17" t="s">
        <v>180</v>
      </c>
      <c r="N260" s="35">
        <v>100</v>
      </c>
      <c r="O260" s="16" t="s">
        <v>83</v>
      </c>
      <c r="P260" s="30">
        <v>130000000</v>
      </c>
      <c r="Q260" s="17" t="s">
        <v>159</v>
      </c>
      <c r="R260" s="35">
        <v>104</v>
      </c>
      <c r="S260" s="16" t="s">
        <v>83</v>
      </c>
      <c r="T260" s="36">
        <v>74880000</v>
      </c>
      <c r="U260" s="20" t="s">
        <v>22</v>
      </c>
      <c r="V260" s="16" t="s">
        <v>50</v>
      </c>
      <c r="W260" s="16">
        <v>1000</v>
      </c>
      <c r="X260" s="16" t="s">
        <v>51</v>
      </c>
      <c r="Y260" s="16">
        <v>60</v>
      </c>
      <c r="Z260" s="16">
        <v>40</v>
      </c>
      <c r="AA260" s="16">
        <v>0</v>
      </c>
      <c r="AB260" s="16">
        <v>0</v>
      </c>
      <c r="AC260" s="16"/>
      <c r="AD260" s="22"/>
      <c r="AE260" s="23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</row>
    <row r="261" spans="1:84" s="2" customFormat="1" x14ac:dyDescent="0.2">
      <c r="A261" s="17" t="s">
        <v>3921</v>
      </c>
      <c r="B261" s="17" t="s">
        <v>45</v>
      </c>
      <c r="C261" s="17">
        <v>2025</v>
      </c>
      <c r="D261" s="17" t="str">
        <f t="array" ref="D261">_xlfn.SWITCH(E261,"Jatikalen","35.18.20","Kertosono", "35.18.08","Lengkong","35.18.19","Loceret","35.18.04","Tanjunganom","35.18.11","Wilangan","35.18.15")</f>
        <v>35.18.04</v>
      </c>
      <c r="E261" s="16" t="s">
        <v>41</v>
      </c>
      <c r="F261" s="17" t="s">
        <v>387</v>
      </c>
      <c r="G261" s="17" t="s">
        <v>756</v>
      </c>
      <c r="H261" s="16" t="s">
        <v>47</v>
      </c>
      <c r="I261" s="16">
        <v>1</v>
      </c>
      <c r="J261" s="16">
        <v>7</v>
      </c>
      <c r="K261" s="16">
        <f t="shared" si="4"/>
        <v>8</v>
      </c>
      <c r="L261" s="36">
        <v>175000000</v>
      </c>
      <c r="M261" s="17" t="s">
        <v>48</v>
      </c>
      <c r="N261" s="35">
        <v>30</v>
      </c>
      <c r="O261" s="16" t="s">
        <v>211</v>
      </c>
      <c r="P261" s="30">
        <v>12998000</v>
      </c>
      <c r="Q261" s="17" t="s">
        <v>57</v>
      </c>
      <c r="R261" s="35">
        <v>11</v>
      </c>
      <c r="S261" s="16" t="s">
        <v>51</v>
      </c>
      <c r="T261" s="36">
        <v>6625000</v>
      </c>
      <c r="U261" s="20" t="s">
        <v>22</v>
      </c>
      <c r="V261" s="16" t="s">
        <v>52</v>
      </c>
      <c r="W261" s="16">
        <v>110</v>
      </c>
      <c r="X261" s="16" t="s">
        <v>53</v>
      </c>
      <c r="Y261" s="16">
        <v>65</v>
      </c>
      <c r="Z261" s="16">
        <v>35</v>
      </c>
      <c r="AA261" s="16">
        <v>0</v>
      </c>
      <c r="AB261" s="16">
        <v>0</v>
      </c>
      <c r="AC261" s="16"/>
      <c r="AD261" s="22"/>
      <c r="AE261" s="23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</row>
    <row r="262" spans="1:84" s="2" customFormat="1" x14ac:dyDescent="0.2">
      <c r="A262" s="17" t="s">
        <v>3921</v>
      </c>
      <c r="B262" s="17" t="s">
        <v>45</v>
      </c>
      <c r="C262" s="17">
        <v>2025</v>
      </c>
      <c r="D262" s="17" t="str">
        <f t="array" ref="D262">_xlfn.SWITCH(E262,"Jatikalen","35.18.20","Kertosono", "35.18.08","Lengkong","35.18.19","Loceret","35.18.04","Tanjunganom","35.18.11","Wilangan","35.18.15")</f>
        <v>35.18.04</v>
      </c>
      <c r="E262" s="16" t="s">
        <v>41</v>
      </c>
      <c r="F262" s="17" t="s">
        <v>757</v>
      </c>
      <c r="G262" s="17" t="s">
        <v>758</v>
      </c>
      <c r="H262" s="16" t="s">
        <v>31</v>
      </c>
      <c r="I262" s="16">
        <v>1</v>
      </c>
      <c r="J262" s="16">
        <v>22</v>
      </c>
      <c r="K262" s="16">
        <f t="shared" si="4"/>
        <v>23</v>
      </c>
      <c r="L262" s="36">
        <v>16000000</v>
      </c>
      <c r="M262" s="17" t="s">
        <v>759</v>
      </c>
      <c r="N262" s="35">
        <v>500</v>
      </c>
      <c r="O262" s="16" t="s">
        <v>211</v>
      </c>
      <c r="P262" s="30">
        <v>235000000</v>
      </c>
      <c r="Q262" s="17" t="s">
        <v>760</v>
      </c>
      <c r="R262" s="35">
        <v>4.3499999999999996</v>
      </c>
      <c r="S262" s="16" t="s">
        <v>83</v>
      </c>
      <c r="T262" s="36">
        <v>48670000</v>
      </c>
      <c r="U262" s="20" t="s">
        <v>22</v>
      </c>
      <c r="V262" s="16">
        <v>0</v>
      </c>
      <c r="W262" s="16">
        <v>0</v>
      </c>
      <c r="X262" s="16">
        <v>0</v>
      </c>
      <c r="Y262" s="16">
        <v>60</v>
      </c>
      <c r="Z262" s="16">
        <v>40</v>
      </c>
      <c r="AA262" s="16">
        <v>0</v>
      </c>
      <c r="AB262" s="16">
        <v>0</v>
      </c>
      <c r="AC262" s="16"/>
      <c r="AD262" s="22"/>
      <c r="AE262" s="23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</row>
    <row r="263" spans="1:84" s="2" customFormat="1" x14ac:dyDescent="0.2">
      <c r="A263" s="17" t="s">
        <v>3921</v>
      </c>
      <c r="B263" s="17" t="s">
        <v>45</v>
      </c>
      <c r="C263" s="17">
        <v>2025</v>
      </c>
      <c r="D263" s="17" t="str">
        <f t="array" ref="D263">_xlfn.SWITCH(E263,"Jatikalen","35.18.20","Kertosono", "35.18.08","Lengkong","35.18.19","Loceret","35.18.04","Tanjunganom","35.18.11","Wilangan","35.18.15")</f>
        <v>35.18.04</v>
      </c>
      <c r="E263" s="16" t="s">
        <v>41</v>
      </c>
      <c r="F263" s="17" t="s">
        <v>757</v>
      </c>
      <c r="G263" s="17" t="s">
        <v>761</v>
      </c>
      <c r="H263" s="16" t="s">
        <v>31</v>
      </c>
      <c r="I263" s="16">
        <v>2</v>
      </c>
      <c r="J263" s="16">
        <v>15</v>
      </c>
      <c r="K263" s="16">
        <f t="shared" si="4"/>
        <v>17</v>
      </c>
      <c r="L263" s="36">
        <v>16000000</v>
      </c>
      <c r="M263" s="17" t="s">
        <v>759</v>
      </c>
      <c r="N263" s="35">
        <v>75</v>
      </c>
      <c r="O263" s="16" t="s">
        <v>211</v>
      </c>
      <c r="P263" s="30">
        <v>40000000</v>
      </c>
      <c r="Q263" s="17" t="s">
        <v>96</v>
      </c>
      <c r="R263" s="35">
        <v>3.15</v>
      </c>
      <c r="S263" s="16" t="s">
        <v>83</v>
      </c>
      <c r="T263" s="36">
        <v>20800000</v>
      </c>
      <c r="U263" s="20" t="s">
        <v>22</v>
      </c>
      <c r="V263" s="16">
        <v>0</v>
      </c>
      <c r="W263" s="16">
        <v>0</v>
      </c>
      <c r="X263" s="16">
        <v>0</v>
      </c>
      <c r="Y263" s="16">
        <v>55</v>
      </c>
      <c r="Z263" s="16">
        <v>45</v>
      </c>
      <c r="AA263" s="16">
        <v>0</v>
      </c>
      <c r="AB263" s="16">
        <v>0</v>
      </c>
      <c r="AC263" s="16"/>
      <c r="AD263" s="22"/>
      <c r="AE263" s="23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</row>
    <row r="264" spans="1:84" s="2" customFormat="1" x14ac:dyDescent="0.2">
      <c r="A264" s="17" t="s">
        <v>3921</v>
      </c>
      <c r="B264" s="17" t="s">
        <v>45</v>
      </c>
      <c r="C264" s="17">
        <v>2025</v>
      </c>
      <c r="D264" s="17" t="str">
        <f t="array" ref="D264">_xlfn.SWITCH(E264,"Jatikalen","35.18.20","Kertosono", "35.18.08","Lengkong","35.18.19","Loceret","35.18.04","Tanjunganom","35.18.11","Wilangan","35.18.15")</f>
        <v>35.18.04</v>
      </c>
      <c r="E264" s="16" t="s">
        <v>41</v>
      </c>
      <c r="F264" s="17" t="s">
        <v>762</v>
      </c>
      <c r="G264" s="17" t="s">
        <v>763</v>
      </c>
      <c r="H264" s="16" t="s">
        <v>31</v>
      </c>
      <c r="I264" s="16">
        <v>16</v>
      </c>
      <c r="J264" s="16">
        <v>4</v>
      </c>
      <c r="K264" s="16">
        <f t="shared" si="4"/>
        <v>20</v>
      </c>
      <c r="L264" s="36">
        <v>17500000</v>
      </c>
      <c r="M264" s="17" t="s">
        <v>180</v>
      </c>
      <c r="N264" s="35">
        <v>90</v>
      </c>
      <c r="O264" s="16" t="s">
        <v>83</v>
      </c>
      <c r="P264" s="30">
        <v>432000000</v>
      </c>
      <c r="Q264" s="17" t="s">
        <v>159</v>
      </c>
      <c r="R264" s="35">
        <v>94</v>
      </c>
      <c r="S264" s="16" t="s">
        <v>83</v>
      </c>
      <c r="T264" s="36">
        <v>235000000</v>
      </c>
      <c r="U264" s="20" t="s">
        <v>22</v>
      </c>
      <c r="V264" s="16" t="s">
        <v>50</v>
      </c>
      <c r="W264" s="16">
        <v>940</v>
      </c>
      <c r="X264" s="16" t="s">
        <v>51</v>
      </c>
      <c r="Y264" s="16">
        <v>70</v>
      </c>
      <c r="Z264" s="16">
        <v>30</v>
      </c>
      <c r="AA264" s="16">
        <v>0</v>
      </c>
      <c r="AB264" s="16">
        <v>0</v>
      </c>
      <c r="AC264" s="16"/>
      <c r="AD264" s="22"/>
      <c r="AE264" s="23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</row>
    <row r="265" spans="1:84" s="2" customFormat="1" x14ac:dyDescent="0.2">
      <c r="A265" s="17" t="s">
        <v>3921</v>
      </c>
      <c r="B265" s="17" t="s">
        <v>45</v>
      </c>
      <c r="C265" s="17">
        <v>2025</v>
      </c>
      <c r="D265" s="17" t="str">
        <f t="array" ref="D265">_xlfn.SWITCH(E265,"Jatikalen","35.18.20","Kertosono", "35.18.08","Lengkong","35.18.19","Loceret","35.18.04","Tanjunganom","35.18.11","Wilangan","35.18.15")</f>
        <v>35.18.04</v>
      </c>
      <c r="E265" s="16" t="s">
        <v>41</v>
      </c>
      <c r="F265" s="17" t="s">
        <v>387</v>
      </c>
      <c r="G265" s="17" t="s">
        <v>764</v>
      </c>
      <c r="H265" s="16" t="s">
        <v>31</v>
      </c>
      <c r="I265" s="16">
        <v>12</v>
      </c>
      <c r="J265" s="16">
        <v>3</v>
      </c>
      <c r="K265" s="16">
        <f t="shared" si="4"/>
        <v>15</v>
      </c>
      <c r="L265" s="36">
        <v>57500000</v>
      </c>
      <c r="M265" s="17" t="s">
        <v>258</v>
      </c>
      <c r="N265" s="35">
        <v>6695</v>
      </c>
      <c r="O265" s="16" t="s">
        <v>259</v>
      </c>
      <c r="P265" s="30">
        <v>200500000</v>
      </c>
      <c r="Q265" s="17" t="s">
        <v>260</v>
      </c>
      <c r="R265" s="35">
        <v>135000</v>
      </c>
      <c r="S265" s="16" t="s">
        <v>765</v>
      </c>
      <c r="T265" s="36">
        <v>72960000</v>
      </c>
      <c r="U265" s="20" t="s">
        <v>22</v>
      </c>
      <c r="V265" s="16">
        <v>0</v>
      </c>
      <c r="W265" s="16">
        <v>0</v>
      </c>
      <c r="X265" s="16">
        <v>0</v>
      </c>
      <c r="Y265" s="16">
        <v>45</v>
      </c>
      <c r="Z265" s="16">
        <v>40</v>
      </c>
      <c r="AA265" s="16">
        <v>25</v>
      </c>
      <c r="AB265" s="16">
        <v>0</v>
      </c>
      <c r="AC265" s="16"/>
      <c r="AD265" s="22"/>
      <c r="AE265" s="23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</row>
    <row r="266" spans="1:84" s="2" customFormat="1" x14ac:dyDescent="0.2">
      <c r="A266" s="17" t="s">
        <v>3921</v>
      </c>
      <c r="B266" s="17" t="s">
        <v>45</v>
      </c>
      <c r="C266" s="17">
        <v>2025</v>
      </c>
      <c r="D266" s="17" t="str">
        <f t="array" ref="D266">_xlfn.SWITCH(E266,"Jatikalen","35.18.20","Kertosono", "35.18.08","Lengkong","35.18.19","Loceret","35.18.04","Tanjunganom","35.18.11","Wilangan","35.18.15")</f>
        <v>35.18.04</v>
      </c>
      <c r="E266" s="16" t="s">
        <v>41</v>
      </c>
      <c r="F266" s="17" t="s">
        <v>757</v>
      </c>
      <c r="G266" s="17" t="s">
        <v>602</v>
      </c>
      <c r="H266" s="16" t="s">
        <v>31</v>
      </c>
      <c r="I266" s="16">
        <v>1</v>
      </c>
      <c r="J266" s="16">
        <v>8</v>
      </c>
      <c r="K266" s="16">
        <f t="shared" si="4"/>
        <v>9</v>
      </c>
      <c r="L266" s="36">
        <v>5000000</v>
      </c>
      <c r="M266" s="17" t="s">
        <v>766</v>
      </c>
      <c r="N266" s="35">
        <v>21600</v>
      </c>
      <c r="O266" s="16" t="s">
        <v>49</v>
      </c>
      <c r="P266" s="30">
        <v>3000000</v>
      </c>
      <c r="Q266" s="17" t="s">
        <v>57</v>
      </c>
      <c r="R266" s="35">
        <v>4680</v>
      </c>
      <c r="S266" s="16" t="s">
        <v>51</v>
      </c>
      <c r="T266" s="36">
        <v>1614000</v>
      </c>
      <c r="U266" s="20" t="s">
        <v>22</v>
      </c>
      <c r="V266" s="16">
        <v>0</v>
      </c>
      <c r="W266" s="16">
        <v>0</v>
      </c>
      <c r="X266" s="16">
        <v>0</v>
      </c>
      <c r="Y266" s="16">
        <v>70</v>
      </c>
      <c r="Z266" s="16">
        <v>30</v>
      </c>
      <c r="AA266" s="16">
        <v>0</v>
      </c>
      <c r="AB266" s="16">
        <v>0</v>
      </c>
      <c r="AC266" s="16"/>
      <c r="AD266" s="22"/>
      <c r="AE266" s="23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</row>
    <row r="267" spans="1:84" s="2" customFormat="1" x14ac:dyDescent="0.2">
      <c r="A267" s="17" t="s">
        <v>3921</v>
      </c>
      <c r="B267" s="17" t="s">
        <v>45</v>
      </c>
      <c r="C267" s="17">
        <v>2025</v>
      </c>
      <c r="D267" s="17" t="str">
        <f t="array" ref="D267">_xlfn.SWITCH(E267,"Jatikalen","35.18.20","Kertosono", "35.18.08","Lengkong","35.18.19","Loceret","35.18.04","Tanjunganom","35.18.11","Wilangan","35.18.15")</f>
        <v>35.18.04</v>
      </c>
      <c r="E267" s="16" t="s">
        <v>41</v>
      </c>
      <c r="F267" s="17" t="s">
        <v>757</v>
      </c>
      <c r="G267" s="17" t="s">
        <v>767</v>
      </c>
      <c r="H267" s="16" t="s">
        <v>31</v>
      </c>
      <c r="I267" s="16">
        <v>2</v>
      </c>
      <c r="J267" s="16">
        <v>8</v>
      </c>
      <c r="K267" s="16">
        <f t="shared" si="4"/>
        <v>10</v>
      </c>
      <c r="L267" s="36">
        <v>5000000</v>
      </c>
      <c r="M267" s="17" t="s">
        <v>766</v>
      </c>
      <c r="N267" s="35">
        <v>21600</v>
      </c>
      <c r="O267" s="16" t="s">
        <v>49</v>
      </c>
      <c r="P267" s="30">
        <v>2850000</v>
      </c>
      <c r="Q267" s="17" t="s">
        <v>57</v>
      </c>
      <c r="R267" s="35">
        <v>4680</v>
      </c>
      <c r="S267" s="16" t="s">
        <v>51</v>
      </c>
      <c r="T267" s="36">
        <v>1612000</v>
      </c>
      <c r="U267" s="20" t="s">
        <v>22</v>
      </c>
      <c r="V267" s="16">
        <v>0</v>
      </c>
      <c r="W267" s="16">
        <v>0</v>
      </c>
      <c r="X267" s="16">
        <v>0</v>
      </c>
      <c r="Y267" s="16">
        <v>65</v>
      </c>
      <c r="Z267" s="16">
        <v>35</v>
      </c>
      <c r="AA267" s="16">
        <v>0</v>
      </c>
      <c r="AB267" s="16">
        <v>0</v>
      </c>
      <c r="AC267" s="16"/>
      <c r="AD267" s="22"/>
      <c r="AE267" s="23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</row>
    <row r="268" spans="1:84" s="2" customFormat="1" x14ac:dyDescent="0.2">
      <c r="A268" s="17" t="s">
        <v>3921</v>
      </c>
      <c r="B268" s="17" t="s">
        <v>45</v>
      </c>
      <c r="C268" s="17">
        <v>2025</v>
      </c>
      <c r="D268" s="17" t="str">
        <f t="array" ref="D268">_xlfn.SWITCH(E268,"Jatikalen","35.18.20","Kertosono", "35.18.08","Lengkong","35.18.19","Loceret","35.18.04","Tanjunganom","35.18.11","Wilangan","35.18.15")</f>
        <v>35.18.04</v>
      </c>
      <c r="E268" s="16" t="s">
        <v>41</v>
      </c>
      <c r="F268" s="17" t="s">
        <v>757</v>
      </c>
      <c r="G268" s="17" t="s">
        <v>768</v>
      </c>
      <c r="H268" s="16" t="s">
        <v>31</v>
      </c>
      <c r="I268" s="16">
        <v>2</v>
      </c>
      <c r="J268" s="16">
        <v>9</v>
      </c>
      <c r="K268" s="16">
        <f t="shared" si="4"/>
        <v>11</v>
      </c>
      <c r="L268" s="36">
        <v>6000000</v>
      </c>
      <c r="M268" s="17" t="s">
        <v>766</v>
      </c>
      <c r="N268" s="35">
        <v>16800</v>
      </c>
      <c r="O268" s="16" t="s">
        <v>49</v>
      </c>
      <c r="P268" s="30">
        <v>2400000</v>
      </c>
      <c r="Q268" s="17" t="s">
        <v>57</v>
      </c>
      <c r="R268" s="35">
        <v>3640</v>
      </c>
      <c r="S268" s="16" t="s">
        <v>51</v>
      </c>
      <c r="T268" s="36">
        <v>1274000</v>
      </c>
      <c r="U268" s="20" t="s">
        <v>22</v>
      </c>
      <c r="V268" s="16">
        <v>0</v>
      </c>
      <c r="W268" s="16">
        <v>0</v>
      </c>
      <c r="X268" s="16">
        <v>0</v>
      </c>
      <c r="Y268" s="16">
        <v>70</v>
      </c>
      <c r="Z268" s="16">
        <v>30</v>
      </c>
      <c r="AA268" s="16">
        <v>0</v>
      </c>
      <c r="AB268" s="16">
        <v>0</v>
      </c>
      <c r="AC268" s="16"/>
      <c r="AD268" s="22"/>
      <c r="AE268" s="23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</row>
    <row r="269" spans="1:84" s="2" customFormat="1" x14ac:dyDescent="0.2">
      <c r="A269" s="17" t="s">
        <v>3921</v>
      </c>
      <c r="B269" s="17" t="s">
        <v>45</v>
      </c>
      <c r="C269" s="17">
        <v>2025</v>
      </c>
      <c r="D269" s="17" t="str">
        <f t="array" ref="D269">_xlfn.SWITCH(E269,"Jatikalen","35.18.20","Kertosono", "35.18.08","Lengkong","35.18.19","Loceret","35.18.04","Tanjunganom","35.18.11","Wilangan","35.18.15")</f>
        <v>35.18.04</v>
      </c>
      <c r="E269" s="16" t="s">
        <v>41</v>
      </c>
      <c r="F269" s="17" t="s">
        <v>360</v>
      </c>
      <c r="G269" s="17" t="s">
        <v>740</v>
      </c>
      <c r="H269" s="16" t="s">
        <v>81</v>
      </c>
      <c r="I269" s="16">
        <v>2</v>
      </c>
      <c r="J269" s="16">
        <v>13</v>
      </c>
      <c r="K269" s="16">
        <f t="shared" si="4"/>
        <v>15</v>
      </c>
      <c r="L269" s="36">
        <v>45000000</v>
      </c>
      <c r="M269" s="17" t="s">
        <v>228</v>
      </c>
      <c r="N269" s="35">
        <v>3500</v>
      </c>
      <c r="O269" s="16" t="s">
        <v>51</v>
      </c>
      <c r="P269" s="30">
        <v>13700000</v>
      </c>
      <c r="Q269" s="17" t="s">
        <v>230</v>
      </c>
      <c r="R269" s="35" t="s">
        <v>769</v>
      </c>
      <c r="S269" s="16" t="s">
        <v>770</v>
      </c>
      <c r="T269" s="36">
        <v>6258000</v>
      </c>
      <c r="U269" s="20" t="s">
        <v>22</v>
      </c>
      <c r="V269" s="16" t="s">
        <v>52</v>
      </c>
      <c r="W269" s="16">
        <v>900</v>
      </c>
      <c r="X269" s="16" t="s">
        <v>53</v>
      </c>
      <c r="Y269" s="16">
        <v>65</v>
      </c>
      <c r="Z269" s="16">
        <v>35</v>
      </c>
      <c r="AA269" s="16">
        <v>0</v>
      </c>
      <c r="AB269" s="16">
        <v>0</v>
      </c>
      <c r="AC269" s="16"/>
      <c r="AD269" s="22"/>
      <c r="AE269" s="23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</row>
    <row r="270" spans="1:84" s="2" customFormat="1" x14ac:dyDescent="0.2">
      <c r="A270" s="17" t="s">
        <v>3921</v>
      </c>
      <c r="B270" s="17" t="s">
        <v>45</v>
      </c>
      <c r="C270" s="17">
        <v>2025</v>
      </c>
      <c r="D270" s="17" t="str">
        <f t="array" ref="D270">_xlfn.SWITCH(E270,"Jatikalen","35.18.20","Kertosono", "35.18.08","Lengkong","35.18.19","Loceret","35.18.04","Tanjunganom","35.18.11","Wilangan","35.18.15")</f>
        <v>35.18.04</v>
      </c>
      <c r="E270" s="16" t="s">
        <v>41</v>
      </c>
      <c r="F270" s="17" t="s">
        <v>387</v>
      </c>
      <c r="G270" s="17" t="s">
        <v>771</v>
      </c>
      <c r="H270" s="16" t="s">
        <v>31</v>
      </c>
      <c r="I270" s="16">
        <v>16</v>
      </c>
      <c r="J270" s="16">
        <v>5</v>
      </c>
      <c r="K270" s="16">
        <f t="shared" si="4"/>
        <v>21</v>
      </c>
      <c r="L270" s="36">
        <v>55000000</v>
      </c>
      <c r="M270" s="17" t="s">
        <v>467</v>
      </c>
      <c r="N270" s="35">
        <v>100000</v>
      </c>
      <c r="O270" s="16" t="s">
        <v>143</v>
      </c>
      <c r="P270" s="30">
        <v>14438000</v>
      </c>
      <c r="Q270" s="17" t="s">
        <v>481</v>
      </c>
      <c r="R270" s="35" t="s">
        <v>772</v>
      </c>
      <c r="S270" s="16" t="s">
        <v>773</v>
      </c>
      <c r="T270" s="36">
        <v>7300000</v>
      </c>
      <c r="U270" s="20" t="s">
        <v>22</v>
      </c>
      <c r="V270" s="16">
        <v>0</v>
      </c>
      <c r="W270" s="16">
        <v>0</v>
      </c>
      <c r="X270" s="16">
        <v>0</v>
      </c>
      <c r="Y270" s="16">
        <v>60</v>
      </c>
      <c r="Z270" s="16">
        <v>40</v>
      </c>
      <c r="AA270" s="16">
        <v>0</v>
      </c>
      <c r="AB270" s="16">
        <v>0</v>
      </c>
      <c r="AC270" s="16"/>
      <c r="AD270" s="22"/>
      <c r="AE270" s="23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</row>
    <row r="271" spans="1:84" s="2" customFormat="1" x14ac:dyDescent="0.2">
      <c r="A271" s="17" t="s">
        <v>3921</v>
      </c>
      <c r="B271" s="17" t="s">
        <v>45</v>
      </c>
      <c r="C271" s="17">
        <v>2025</v>
      </c>
      <c r="D271" s="17" t="str">
        <f t="array" ref="D271">_xlfn.SWITCH(E271,"Jatikalen","35.18.20","Kertosono", "35.18.08","Lengkong","35.18.19","Loceret","35.18.04","Tanjunganom","35.18.11","Wilangan","35.18.15")</f>
        <v>35.18.04</v>
      </c>
      <c r="E271" s="16" t="s">
        <v>41</v>
      </c>
      <c r="F271" s="17" t="s">
        <v>774</v>
      </c>
      <c r="G271" s="17" t="s">
        <v>775</v>
      </c>
      <c r="H271" s="16" t="s">
        <v>31</v>
      </c>
      <c r="I271" s="16">
        <v>2</v>
      </c>
      <c r="J271" s="16">
        <v>2</v>
      </c>
      <c r="K271" s="16">
        <f t="shared" si="4"/>
        <v>4</v>
      </c>
      <c r="L271" s="36">
        <v>12750000</v>
      </c>
      <c r="M271" s="17" t="s">
        <v>172</v>
      </c>
      <c r="N271" s="35">
        <v>43200</v>
      </c>
      <c r="O271" s="16" t="s">
        <v>35</v>
      </c>
      <c r="P271" s="30">
        <v>69450000</v>
      </c>
      <c r="Q271" s="17" t="s">
        <v>173</v>
      </c>
      <c r="R271" s="35">
        <v>14400</v>
      </c>
      <c r="S271" s="16" t="s">
        <v>35</v>
      </c>
      <c r="T271" s="36">
        <v>35000000</v>
      </c>
      <c r="U271" s="20" t="s">
        <v>22</v>
      </c>
      <c r="V271" s="16" t="s">
        <v>50</v>
      </c>
      <c r="W271" s="16">
        <v>140</v>
      </c>
      <c r="X271" s="16" t="s">
        <v>51</v>
      </c>
      <c r="Y271" s="16">
        <v>100</v>
      </c>
      <c r="Z271" s="16">
        <v>0</v>
      </c>
      <c r="AA271" s="16">
        <v>0</v>
      </c>
      <c r="AB271" s="16">
        <v>0</v>
      </c>
      <c r="AC271" s="16"/>
      <c r="AD271" s="22"/>
      <c r="AE271" s="23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</row>
    <row r="272" spans="1:84" s="2" customFormat="1" x14ac:dyDescent="0.2">
      <c r="A272" s="17" t="s">
        <v>3921</v>
      </c>
      <c r="B272" s="17" t="s">
        <v>45</v>
      </c>
      <c r="C272" s="17">
        <v>2025</v>
      </c>
      <c r="D272" s="17" t="str">
        <f t="array" ref="D272">_xlfn.SWITCH(E272,"Bagor","35.18.14","Sukomoro",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272" s="16" t="s">
        <v>55</v>
      </c>
      <c r="F272" s="17" t="s">
        <v>776</v>
      </c>
      <c r="G272" s="17" t="s">
        <v>777</v>
      </c>
      <c r="H272" s="16" t="s">
        <v>31</v>
      </c>
      <c r="I272" s="16">
        <v>1</v>
      </c>
      <c r="J272" s="16">
        <v>3</v>
      </c>
      <c r="K272" s="16">
        <f t="shared" si="4"/>
        <v>4</v>
      </c>
      <c r="L272" s="18">
        <v>12000000</v>
      </c>
      <c r="M272" s="17" t="s">
        <v>778</v>
      </c>
      <c r="N272" s="35">
        <v>24000</v>
      </c>
      <c r="O272" s="16" t="s">
        <v>152</v>
      </c>
      <c r="P272" s="18">
        <v>3200000</v>
      </c>
      <c r="Q272" s="17" t="s">
        <v>778</v>
      </c>
      <c r="R272" s="35">
        <v>16000</v>
      </c>
      <c r="S272" s="16" t="s">
        <v>143</v>
      </c>
      <c r="T272" s="36">
        <v>1900000</v>
      </c>
      <c r="U272" s="20" t="s">
        <v>22</v>
      </c>
      <c r="V272" s="16">
        <v>0</v>
      </c>
      <c r="W272" s="16">
        <v>0</v>
      </c>
      <c r="X272" s="16">
        <v>0</v>
      </c>
      <c r="Y272" s="16">
        <v>45</v>
      </c>
      <c r="Z272" s="16">
        <v>55</v>
      </c>
      <c r="AA272" s="16">
        <v>0</v>
      </c>
      <c r="AB272" s="16">
        <v>0</v>
      </c>
      <c r="AC272" s="16"/>
      <c r="AD272" s="22"/>
      <c r="AE272" s="23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</row>
    <row r="273" spans="1:84" s="2" customFormat="1" x14ac:dyDescent="0.2">
      <c r="A273" s="17" t="s">
        <v>3921</v>
      </c>
      <c r="B273" s="17" t="s">
        <v>45</v>
      </c>
      <c r="C273" s="17">
        <v>2025</v>
      </c>
      <c r="D273" s="17" t="str">
        <f t="array" ref="D273">_xlfn.SWITCH(E273,"Bagor","35.18.14","Sukomoro",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3" s="16" t="s">
        <v>124</v>
      </c>
      <c r="F273" s="17" t="s">
        <v>779</v>
      </c>
      <c r="G273" s="17" t="s">
        <v>780</v>
      </c>
      <c r="H273" s="16" t="s">
        <v>31</v>
      </c>
      <c r="I273" s="16">
        <v>3</v>
      </c>
      <c r="J273" s="16">
        <v>2</v>
      </c>
      <c r="K273" s="16">
        <f t="shared" si="4"/>
        <v>5</v>
      </c>
      <c r="L273" s="38">
        <v>16500000</v>
      </c>
      <c r="M273" s="17" t="s">
        <v>172</v>
      </c>
      <c r="N273" s="35">
        <v>71</v>
      </c>
      <c r="O273" s="16" t="s">
        <v>83</v>
      </c>
      <c r="P273" s="18">
        <v>121650000</v>
      </c>
      <c r="Q273" s="17" t="s">
        <v>173</v>
      </c>
      <c r="R273" s="35">
        <v>25</v>
      </c>
      <c r="S273" s="16" t="s">
        <v>83</v>
      </c>
      <c r="T273" s="38">
        <v>62500000</v>
      </c>
      <c r="U273" s="20" t="s">
        <v>22</v>
      </c>
      <c r="V273" s="16" t="s">
        <v>50</v>
      </c>
      <c r="W273" s="16">
        <v>250</v>
      </c>
      <c r="X273" s="16" t="s">
        <v>51</v>
      </c>
      <c r="Y273" s="16">
        <v>100</v>
      </c>
      <c r="Z273" s="16">
        <v>0</v>
      </c>
      <c r="AA273" s="16">
        <v>0</v>
      </c>
      <c r="AB273" s="16">
        <v>0</v>
      </c>
      <c r="AC273" s="16"/>
      <c r="AD273" s="22"/>
      <c r="AE273" s="23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</row>
    <row r="274" spans="1:84" s="2" customFormat="1" x14ac:dyDescent="0.2">
      <c r="A274" s="17" t="s">
        <v>3921</v>
      </c>
      <c r="B274" s="17" t="s">
        <v>45</v>
      </c>
      <c r="C274" s="17">
        <v>2025</v>
      </c>
      <c r="D274" s="17" t="str">
        <f t="array" ref="D274">_xlfn.SWITCH(E274,"Bagor","35.18.14","Sukomoro",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4" s="16" t="s">
        <v>124</v>
      </c>
      <c r="F274" s="17" t="s">
        <v>781</v>
      </c>
      <c r="G274" s="17" t="s">
        <v>782</v>
      </c>
      <c r="H274" s="16" t="s">
        <v>31</v>
      </c>
      <c r="I274" s="16">
        <v>3</v>
      </c>
      <c r="J274" s="16">
        <v>1</v>
      </c>
      <c r="K274" s="16">
        <f t="shared" si="4"/>
        <v>4</v>
      </c>
      <c r="L274" s="38">
        <v>13500000</v>
      </c>
      <c r="M274" s="17" t="s">
        <v>172</v>
      </c>
      <c r="N274" s="35">
        <v>55</v>
      </c>
      <c r="O274" s="16" t="s">
        <v>83</v>
      </c>
      <c r="P274" s="18">
        <v>93250000</v>
      </c>
      <c r="Q274" s="17" t="s">
        <v>173</v>
      </c>
      <c r="R274" s="48">
        <v>22</v>
      </c>
      <c r="S274" s="16" t="s">
        <v>83</v>
      </c>
      <c r="T274" s="38">
        <v>47500000</v>
      </c>
      <c r="U274" s="20" t="s">
        <v>22</v>
      </c>
      <c r="V274" s="16" t="s">
        <v>50</v>
      </c>
      <c r="W274" s="16">
        <v>190</v>
      </c>
      <c r="X274" s="16" t="s">
        <v>51</v>
      </c>
      <c r="Y274" s="16">
        <v>100</v>
      </c>
      <c r="Z274" s="16">
        <v>0</v>
      </c>
      <c r="AA274" s="16">
        <v>0</v>
      </c>
      <c r="AB274" s="16">
        <v>0</v>
      </c>
      <c r="AC274" s="16"/>
      <c r="AD274" s="22"/>
      <c r="AE274" s="23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</row>
    <row r="275" spans="1:84" s="2" customFormat="1" x14ac:dyDescent="0.2">
      <c r="A275" s="17" t="s">
        <v>3921</v>
      </c>
      <c r="B275" s="17" t="s">
        <v>45</v>
      </c>
      <c r="C275" s="17">
        <v>2025</v>
      </c>
      <c r="D275" s="17" t="str">
        <f t="array" ref="D275">_xlfn.SWITCH(E275,"Bagor","35.18.14","Sukomoro",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5" s="16" t="s">
        <v>124</v>
      </c>
      <c r="F275" s="17" t="s">
        <v>283</v>
      </c>
      <c r="G275" s="17" t="s">
        <v>783</v>
      </c>
      <c r="H275" s="16" t="s">
        <v>31</v>
      </c>
      <c r="I275" s="16">
        <v>15</v>
      </c>
      <c r="J275" s="16">
        <v>1</v>
      </c>
      <c r="K275" s="16">
        <f t="shared" si="4"/>
        <v>16</v>
      </c>
      <c r="L275" s="38">
        <v>38000000</v>
      </c>
      <c r="M275" s="17" t="s">
        <v>285</v>
      </c>
      <c r="N275" s="35">
        <v>118000</v>
      </c>
      <c r="O275" s="16" t="s">
        <v>268</v>
      </c>
      <c r="P275" s="18">
        <v>236000000</v>
      </c>
      <c r="Q275" s="17" t="s">
        <v>286</v>
      </c>
      <c r="R275" s="35">
        <v>75</v>
      </c>
      <c r="S275" s="16" t="s">
        <v>83</v>
      </c>
      <c r="T275" s="38">
        <v>92100000</v>
      </c>
      <c r="U275" s="20" t="s">
        <v>22</v>
      </c>
      <c r="V275" s="16" t="s">
        <v>50</v>
      </c>
      <c r="W275" s="16">
        <v>750</v>
      </c>
      <c r="X275" s="16" t="s">
        <v>51</v>
      </c>
      <c r="Y275" s="16">
        <v>65</v>
      </c>
      <c r="Z275" s="16">
        <v>35</v>
      </c>
      <c r="AA275" s="16">
        <v>0</v>
      </c>
      <c r="AB275" s="16">
        <v>0</v>
      </c>
      <c r="AC275" s="16"/>
      <c r="AD275" s="22"/>
      <c r="AE275" s="23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</row>
    <row r="276" spans="1:84" s="2" customFormat="1" x14ac:dyDescent="0.2">
      <c r="A276" s="17" t="s">
        <v>3921</v>
      </c>
      <c r="B276" s="17" t="s">
        <v>45</v>
      </c>
      <c r="C276" s="17">
        <v>2025</v>
      </c>
      <c r="D276" s="17" t="str">
        <f t="array" ref="D276">_xlfn.SWITCH(E276,"Bagor","35.18.14","Sukomoro",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6" s="16" t="s">
        <v>124</v>
      </c>
      <c r="F276" s="17" t="s">
        <v>283</v>
      </c>
      <c r="G276" s="17" t="s">
        <v>784</v>
      </c>
      <c r="H276" s="16" t="s">
        <v>31</v>
      </c>
      <c r="I276" s="16">
        <v>14</v>
      </c>
      <c r="J276" s="16">
        <v>2</v>
      </c>
      <c r="K276" s="16">
        <f t="shared" si="4"/>
        <v>16</v>
      </c>
      <c r="L276" s="38">
        <v>53500000</v>
      </c>
      <c r="M276" s="17" t="s">
        <v>285</v>
      </c>
      <c r="N276" s="35">
        <v>165000</v>
      </c>
      <c r="O276" s="16" t="s">
        <v>268</v>
      </c>
      <c r="P276" s="18">
        <v>346500000</v>
      </c>
      <c r="Q276" s="17" t="s">
        <v>286</v>
      </c>
      <c r="R276" s="35">
        <v>105</v>
      </c>
      <c r="S276" s="16" t="s">
        <v>51</v>
      </c>
      <c r="T276" s="38">
        <v>112300000</v>
      </c>
      <c r="U276" s="20" t="s">
        <v>22</v>
      </c>
      <c r="V276" s="16" t="s">
        <v>50</v>
      </c>
      <c r="W276" s="16">
        <v>1000</v>
      </c>
      <c r="X276" s="16" t="s">
        <v>51</v>
      </c>
      <c r="Y276" s="16">
        <v>50</v>
      </c>
      <c r="Z276" s="16">
        <v>50</v>
      </c>
      <c r="AA276" s="16">
        <v>0</v>
      </c>
      <c r="AB276" s="16">
        <v>0</v>
      </c>
      <c r="AC276" s="16"/>
      <c r="AD276" s="22"/>
      <c r="AE276" s="23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</row>
    <row r="277" spans="1:84" s="2" customFormat="1" x14ac:dyDescent="0.2">
      <c r="A277" s="17" t="s">
        <v>3921</v>
      </c>
      <c r="B277" s="17" t="s">
        <v>45</v>
      </c>
      <c r="C277" s="17">
        <v>2025</v>
      </c>
      <c r="D277" s="17" t="str">
        <f t="array" ref="D277">_xlfn.SWITCH(E277,"Bagor","35.18.14","Sukomoro",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7" s="16" t="s">
        <v>124</v>
      </c>
      <c r="F277" s="17" t="s">
        <v>283</v>
      </c>
      <c r="G277" s="17" t="s">
        <v>68</v>
      </c>
      <c r="H277" s="16" t="s">
        <v>31</v>
      </c>
      <c r="I277" s="16">
        <v>15</v>
      </c>
      <c r="J277" s="16">
        <v>1</v>
      </c>
      <c r="K277" s="16">
        <f t="shared" si="4"/>
        <v>16</v>
      </c>
      <c r="L277" s="38">
        <v>61000000</v>
      </c>
      <c r="M277" s="17" t="s">
        <v>285</v>
      </c>
      <c r="N277" s="35">
        <v>190000</v>
      </c>
      <c r="O277" s="16" t="s">
        <v>268</v>
      </c>
      <c r="P277" s="18">
        <v>418000000</v>
      </c>
      <c r="Q277" s="17" t="s">
        <v>286</v>
      </c>
      <c r="R277" s="35">
        <v>120</v>
      </c>
      <c r="S277" s="16" t="s">
        <v>51</v>
      </c>
      <c r="T277" s="38">
        <v>162784000</v>
      </c>
      <c r="U277" s="20" t="s">
        <v>22</v>
      </c>
      <c r="V277" s="16" t="s">
        <v>50</v>
      </c>
      <c r="W277" s="16">
        <v>1200</v>
      </c>
      <c r="X277" s="16" t="s">
        <v>51</v>
      </c>
      <c r="Y277" s="16">
        <v>55</v>
      </c>
      <c r="Z277" s="16">
        <v>45</v>
      </c>
      <c r="AA277" s="16">
        <v>0</v>
      </c>
      <c r="AB277" s="16">
        <v>0</v>
      </c>
      <c r="AC277" s="16"/>
      <c r="AD277" s="22"/>
      <c r="AE277" s="23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</row>
    <row r="278" spans="1:84" s="2" customFormat="1" x14ac:dyDescent="0.2">
      <c r="A278" s="17" t="s">
        <v>3921</v>
      </c>
      <c r="B278" s="17" t="s">
        <v>45</v>
      </c>
      <c r="C278" s="17">
        <v>2025</v>
      </c>
      <c r="D278" s="17" t="str">
        <f t="array" ref="D278">_xlfn.SWITCH(E278,"Bagor","35.18.14","Sukomoro",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78" s="16" t="s">
        <v>785</v>
      </c>
      <c r="F278" s="17" t="s">
        <v>785</v>
      </c>
      <c r="G278" s="17" t="s">
        <v>786</v>
      </c>
      <c r="H278" s="16" t="s">
        <v>31</v>
      </c>
      <c r="I278" s="16">
        <v>19</v>
      </c>
      <c r="J278" s="16">
        <v>7</v>
      </c>
      <c r="K278" s="16">
        <f t="shared" si="4"/>
        <v>26</v>
      </c>
      <c r="L278" s="36">
        <v>17000000</v>
      </c>
      <c r="M278" s="17" t="s">
        <v>787</v>
      </c>
      <c r="N278" s="35" t="s">
        <v>722</v>
      </c>
      <c r="O278" s="16" t="s">
        <v>83</v>
      </c>
      <c r="P278" s="18">
        <v>32500000</v>
      </c>
      <c r="Q278" s="17" t="s">
        <v>34</v>
      </c>
      <c r="R278" s="35">
        <v>60</v>
      </c>
      <c r="S278" s="16" t="s">
        <v>83</v>
      </c>
      <c r="T278" s="38">
        <v>11000000</v>
      </c>
      <c r="U278" s="20" t="s">
        <v>22</v>
      </c>
      <c r="V278" s="16">
        <v>0</v>
      </c>
      <c r="W278" s="16">
        <v>0</v>
      </c>
      <c r="X278" s="16">
        <v>0</v>
      </c>
      <c r="Y278" s="16">
        <v>30</v>
      </c>
      <c r="Z278" s="16">
        <v>40</v>
      </c>
      <c r="AA278" s="16">
        <v>30</v>
      </c>
      <c r="AB278" s="16">
        <v>0</v>
      </c>
      <c r="AC278" s="16"/>
      <c r="AD278" s="22"/>
      <c r="AE278" s="23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</row>
    <row r="279" spans="1:84" s="2" customFormat="1" x14ac:dyDescent="0.2">
      <c r="A279" s="17" t="s">
        <v>3921</v>
      </c>
      <c r="B279" s="17" t="s">
        <v>45</v>
      </c>
      <c r="C279" s="17">
        <v>2025</v>
      </c>
      <c r="D279" s="17" t="str">
        <f t="array" ref="D279">_xlfn.SWITCH(E279,"Bagor","35.18.14","Sukomoro",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79" s="16" t="s">
        <v>785</v>
      </c>
      <c r="F279" s="17" t="s">
        <v>788</v>
      </c>
      <c r="G279" s="17" t="s">
        <v>789</v>
      </c>
      <c r="H279" s="16" t="s">
        <v>31</v>
      </c>
      <c r="I279" s="16">
        <v>11</v>
      </c>
      <c r="J279" s="16">
        <v>12</v>
      </c>
      <c r="K279" s="16">
        <f t="shared" si="4"/>
        <v>23</v>
      </c>
      <c r="L279" s="36">
        <v>13000000</v>
      </c>
      <c r="M279" s="17" t="s">
        <v>787</v>
      </c>
      <c r="N279" s="35" t="s">
        <v>716</v>
      </c>
      <c r="O279" s="16" t="s">
        <v>83</v>
      </c>
      <c r="P279" s="18">
        <v>61500000</v>
      </c>
      <c r="Q279" s="17" t="s">
        <v>34</v>
      </c>
      <c r="R279" s="35">
        <v>100</v>
      </c>
      <c r="S279" s="16" t="s">
        <v>83</v>
      </c>
      <c r="T279" s="38">
        <v>25000000</v>
      </c>
      <c r="U279" s="20" t="s">
        <v>22</v>
      </c>
      <c r="V279" s="16">
        <v>0</v>
      </c>
      <c r="W279" s="16">
        <v>0</v>
      </c>
      <c r="X279" s="16">
        <v>0</v>
      </c>
      <c r="Y279" s="16">
        <v>40</v>
      </c>
      <c r="Z279" s="16">
        <v>35</v>
      </c>
      <c r="AA279" s="16">
        <v>25</v>
      </c>
      <c r="AB279" s="16">
        <v>0</v>
      </c>
      <c r="AC279" s="16"/>
      <c r="AD279" s="22"/>
      <c r="AE279" s="23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</row>
    <row r="280" spans="1:84" s="2" customFormat="1" x14ac:dyDescent="0.2">
      <c r="A280" s="17" t="s">
        <v>3921</v>
      </c>
      <c r="B280" s="17" t="s">
        <v>45</v>
      </c>
      <c r="C280" s="17">
        <v>2025</v>
      </c>
      <c r="D280" s="17" t="str">
        <f t="array" ref="D280">_xlfn.SWITCH(E280,"Bagor","35.18.14","Sukomoro",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0" s="16" t="s">
        <v>785</v>
      </c>
      <c r="F280" s="17" t="s">
        <v>785</v>
      </c>
      <c r="G280" s="17" t="s">
        <v>790</v>
      </c>
      <c r="H280" s="16" t="s">
        <v>31</v>
      </c>
      <c r="I280" s="16">
        <v>15</v>
      </c>
      <c r="J280" s="16">
        <v>8</v>
      </c>
      <c r="K280" s="16">
        <f t="shared" si="4"/>
        <v>23</v>
      </c>
      <c r="L280" s="36">
        <v>11500000</v>
      </c>
      <c r="M280" s="17" t="s">
        <v>787</v>
      </c>
      <c r="N280" s="35">
        <v>14</v>
      </c>
      <c r="O280" s="16" t="s">
        <v>83</v>
      </c>
      <c r="P280" s="18">
        <v>49500000</v>
      </c>
      <c r="Q280" s="17" t="s">
        <v>34</v>
      </c>
      <c r="R280" s="35">
        <v>80</v>
      </c>
      <c r="S280" s="16" t="s">
        <v>83</v>
      </c>
      <c r="T280" s="38">
        <v>18000000</v>
      </c>
      <c r="U280" s="20" t="s">
        <v>22</v>
      </c>
      <c r="V280" s="16">
        <v>0</v>
      </c>
      <c r="W280" s="16">
        <v>0</v>
      </c>
      <c r="X280" s="16">
        <v>0</v>
      </c>
      <c r="Y280" s="16">
        <v>35</v>
      </c>
      <c r="Z280" s="16">
        <v>40</v>
      </c>
      <c r="AA280" s="16">
        <v>25</v>
      </c>
      <c r="AB280" s="16">
        <v>0</v>
      </c>
      <c r="AC280" s="16"/>
      <c r="AD280" s="22"/>
      <c r="AE280" s="23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</row>
    <row r="281" spans="1:84" s="2" customFormat="1" x14ac:dyDescent="0.2">
      <c r="A281" s="17" t="s">
        <v>3921</v>
      </c>
      <c r="B281" s="17" t="s">
        <v>45</v>
      </c>
      <c r="C281" s="17">
        <v>2025</v>
      </c>
      <c r="D281" s="17" t="str">
        <f t="array" ref="D281">_xlfn.SWITCH(E281,"Bagor","35.18.14","Sukomoro",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1" s="16" t="s">
        <v>785</v>
      </c>
      <c r="F281" s="17" t="s">
        <v>785</v>
      </c>
      <c r="G281" s="17" t="s">
        <v>791</v>
      </c>
      <c r="H281" s="16" t="s">
        <v>31</v>
      </c>
      <c r="I281" s="16">
        <v>15</v>
      </c>
      <c r="J281" s="16">
        <v>0</v>
      </c>
      <c r="K281" s="16">
        <f t="shared" ref="K281:K289" si="5">I281+J281</f>
        <v>15</v>
      </c>
      <c r="L281" s="36">
        <v>19000000</v>
      </c>
      <c r="M281" s="17" t="s">
        <v>792</v>
      </c>
      <c r="N281" s="35">
        <v>245</v>
      </c>
      <c r="O281" s="16" t="s">
        <v>83</v>
      </c>
      <c r="P281" s="18">
        <v>135000000</v>
      </c>
      <c r="Q281" s="17" t="s">
        <v>793</v>
      </c>
      <c r="R281" s="35">
        <v>268</v>
      </c>
      <c r="S281" s="16" t="s">
        <v>51</v>
      </c>
      <c r="T281" s="38">
        <v>66480000</v>
      </c>
      <c r="U281" s="20" t="s">
        <v>22</v>
      </c>
      <c r="V281" s="16">
        <v>0</v>
      </c>
      <c r="W281" s="16">
        <v>0</v>
      </c>
      <c r="X281" s="16">
        <v>0</v>
      </c>
      <c r="Y281" s="16">
        <v>65</v>
      </c>
      <c r="Z281" s="16">
        <v>35</v>
      </c>
      <c r="AA281" s="16">
        <v>0</v>
      </c>
      <c r="AB281" s="16">
        <v>0</v>
      </c>
      <c r="AC281" s="16"/>
      <c r="AD281" s="22"/>
      <c r="AE281" s="23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</row>
    <row r="282" spans="1:84" s="2" customFormat="1" x14ac:dyDescent="0.2">
      <c r="A282" s="17" t="s">
        <v>3921</v>
      </c>
      <c r="B282" s="17" t="s">
        <v>45</v>
      </c>
      <c r="C282" s="17">
        <v>2025</v>
      </c>
      <c r="D282" s="17" t="str">
        <f t="array" ref="D282">_xlfn.SWITCH(E282,"Bagor","35.18.14","Sukomoro",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2" s="16" t="s">
        <v>785</v>
      </c>
      <c r="F282" s="17" t="s">
        <v>788</v>
      </c>
      <c r="G282" s="17" t="s">
        <v>602</v>
      </c>
      <c r="H282" s="16" t="s">
        <v>31</v>
      </c>
      <c r="I282" s="16">
        <v>7</v>
      </c>
      <c r="J282" s="16">
        <v>0</v>
      </c>
      <c r="K282" s="16">
        <f t="shared" si="5"/>
        <v>7</v>
      </c>
      <c r="L282" s="36">
        <v>19500000</v>
      </c>
      <c r="M282" s="17" t="s">
        <v>792</v>
      </c>
      <c r="N282" s="35">
        <v>112</v>
      </c>
      <c r="O282" s="16" t="s">
        <v>83</v>
      </c>
      <c r="P282" s="18">
        <v>75000000</v>
      </c>
      <c r="Q282" s="17" t="s">
        <v>793</v>
      </c>
      <c r="R282" s="35">
        <v>123</v>
      </c>
      <c r="S282" s="16" t="s">
        <v>51</v>
      </c>
      <c r="T282" s="38">
        <v>24280000</v>
      </c>
      <c r="U282" s="20" t="s">
        <v>22</v>
      </c>
      <c r="V282" s="16">
        <v>0</v>
      </c>
      <c r="W282" s="16">
        <v>0</v>
      </c>
      <c r="X282" s="16">
        <v>0</v>
      </c>
      <c r="Y282" s="16">
        <v>60</v>
      </c>
      <c r="Z282" s="16">
        <v>40</v>
      </c>
      <c r="AA282" s="16">
        <v>0</v>
      </c>
      <c r="AB282" s="16">
        <v>0</v>
      </c>
      <c r="AC282" s="16"/>
      <c r="AD282" s="22"/>
      <c r="AE282" s="23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</row>
    <row r="283" spans="1:84" s="2" customFormat="1" x14ac:dyDescent="0.2">
      <c r="A283" s="17" t="s">
        <v>3921</v>
      </c>
      <c r="B283" s="17" t="s">
        <v>45</v>
      </c>
      <c r="C283" s="17">
        <v>2025</v>
      </c>
      <c r="D283" s="17" t="str">
        <f t="array" ref="D283">_xlfn.SWITCH(E283,"Bagor","35.18.14","Sukomoro",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3" s="16" t="s">
        <v>785</v>
      </c>
      <c r="F283" s="17" t="s">
        <v>328</v>
      </c>
      <c r="G283" s="17" t="s">
        <v>794</v>
      </c>
      <c r="H283" s="16" t="s">
        <v>31</v>
      </c>
      <c r="I283" s="16">
        <v>9</v>
      </c>
      <c r="J283" s="16">
        <v>0</v>
      </c>
      <c r="K283" s="16">
        <f t="shared" si="5"/>
        <v>9</v>
      </c>
      <c r="L283" s="36">
        <v>12000000</v>
      </c>
      <c r="M283" s="17" t="s">
        <v>792</v>
      </c>
      <c r="N283" s="35">
        <v>150</v>
      </c>
      <c r="O283" s="16" t="s">
        <v>83</v>
      </c>
      <c r="P283" s="18">
        <v>92000000</v>
      </c>
      <c r="Q283" s="17" t="s">
        <v>793</v>
      </c>
      <c r="R283" s="35">
        <v>165</v>
      </c>
      <c r="S283" s="16" t="s">
        <v>51</v>
      </c>
      <c r="T283" s="38">
        <v>39400000</v>
      </c>
      <c r="U283" s="20" t="s">
        <v>22</v>
      </c>
      <c r="V283" s="16">
        <v>0</v>
      </c>
      <c r="W283" s="16">
        <v>0</v>
      </c>
      <c r="X283" s="16">
        <v>0</v>
      </c>
      <c r="Y283" s="16">
        <v>65</v>
      </c>
      <c r="Z283" s="16">
        <v>35</v>
      </c>
      <c r="AA283" s="16">
        <v>0</v>
      </c>
      <c r="AB283" s="16">
        <v>0</v>
      </c>
      <c r="AC283" s="16"/>
      <c r="AD283" s="22"/>
      <c r="AE283" s="23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</row>
    <row r="284" spans="1:84" s="2" customFormat="1" x14ac:dyDescent="0.2">
      <c r="A284" s="17" t="s">
        <v>3921</v>
      </c>
      <c r="B284" s="17" t="s">
        <v>45</v>
      </c>
      <c r="C284" s="17">
        <v>2025</v>
      </c>
      <c r="D284" s="17" t="str">
        <f t="array" ref="D284">_xlfn.SWITCH(E284,"Bagor","35.18.14","Sukomoro",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4" s="16" t="s">
        <v>785</v>
      </c>
      <c r="F284" s="17" t="s">
        <v>788</v>
      </c>
      <c r="G284" s="17" t="s">
        <v>795</v>
      </c>
      <c r="H284" s="16" t="s">
        <v>31</v>
      </c>
      <c r="I284" s="16">
        <v>11</v>
      </c>
      <c r="J284" s="16">
        <v>0</v>
      </c>
      <c r="K284" s="16">
        <f t="shared" si="5"/>
        <v>11</v>
      </c>
      <c r="L284" s="36">
        <v>15000000</v>
      </c>
      <c r="M284" s="17" t="s">
        <v>792</v>
      </c>
      <c r="N284" s="35">
        <v>182</v>
      </c>
      <c r="O284" s="16" t="s">
        <v>83</v>
      </c>
      <c r="P284" s="18">
        <v>112000000</v>
      </c>
      <c r="Q284" s="17" t="s">
        <v>793</v>
      </c>
      <c r="R284" s="35">
        <v>200</v>
      </c>
      <c r="S284" s="16" t="s">
        <v>51</v>
      </c>
      <c r="T284" s="38">
        <v>42000000</v>
      </c>
      <c r="U284" s="20" t="s">
        <v>22</v>
      </c>
      <c r="V284" s="16">
        <v>0</v>
      </c>
      <c r="W284" s="16">
        <v>0</v>
      </c>
      <c r="X284" s="16">
        <v>0</v>
      </c>
      <c r="Y284" s="16">
        <v>60</v>
      </c>
      <c r="Z284" s="16">
        <v>40</v>
      </c>
      <c r="AA284" s="16">
        <v>0</v>
      </c>
      <c r="AB284" s="16">
        <v>0</v>
      </c>
      <c r="AC284" s="16"/>
      <c r="AD284" s="22"/>
      <c r="AE284" s="23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</row>
    <row r="285" spans="1:84" s="2" customFormat="1" x14ac:dyDescent="0.2">
      <c r="A285" s="17" t="s">
        <v>3921</v>
      </c>
      <c r="B285" s="17" t="s">
        <v>45</v>
      </c>
      <c r="C285" s="17">
        <v>2025</v>
      </c>
      <c r="D285" s="17" t="str">
        <f t="array" ref="D285">_xlfn.SWITCH(E285,"Bagor","35.18.14","Sukomoro",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5" s="16" t="s">
        <v>785</v>
      </c>
      <c r="F285" s="17" t="s">
        <v>788</v>
      </c>
      <c r="G285" s="17" t="s">
        <v>796</v>
      </c>
      <c r="H285" s="16" t="s">
        <v>31</v>
      </c>
      <c r="I285" s="16">
        <v>10</v>
      </c>
      <c r="J285" s="16">
        <v>0</v>
      </c>
      <c r="K285" s="16">
        <f t="shared" si="5"/>
        <v>10</v>
      </c>
      <c r="L285" s="36">
        <v>15000000</v>
      </c>
      <c r="M285" s="17" t="s">
        <v>792</v>
      </c>
      <c r="N285" s="35">
        <v>182</v>
      </c>
      <c r="O285" s="16" t="s">
        <v>83</v>
      </c>
      <c r="P285" s="18">
        <v>112000000</v>
      </c>
      <c r="Q285" s="17" t="s">
        <v>793</v>
      </c>
      <c r="R285" s="35">
        <v>200</v>
      </c>
      <c r="S285" s="16" t="s">
        <v>51</v>
      </c>
      <c r="T285" s="38">
        <v>43000000</v>
      </c>
      <c r="U285" s="20" t="s">
        <v>22</v>
      </c>
      <c r="V285" s="16">
        <v>0</v>
      </c>
      <c r="W285" s="16">
        <v>0</v>
      </c>
      <c r="X285" s="16">
        <v>0</v>
      </c>
      <c r="Y285" s="16">
        <v>65</v>
      </c>
      <c r="Z285" s="16">
        <v>35</v>
      </c>
      <c r="AA285" s="16">
        <v>0</v>
      </c>
      <c r="AB285" s="16">
        <v>0</v>
      </c>
      <c r="AC285" s="16"/>
      <c r="AD285" s="22"/>
      <c r="AE285" s="23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</row>
    <row r="286" spans="1:84" s="2" customFormat="1" x14ac:dyDescent="0.2">
      <c r="A286" s="17" t="s">
        <v>3921</v>
      </c>
      <c r="B286" s="17" t="s">
        <v>45</v>
      </c>
      <c r="C286" s="17">
        <v>2025</v>
      </c>
      <c r="D286" s="17" t="str">
        <f t="array" ref="D286">_xlfn.SWITCH(E286,"Bagor","35.18.14","Sukomoro",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6" s="16" t="s">
        <v>785</v>
      </c>
      <c r="F286" s="17" t="s">
        <v>788</v>
      </c>
      <c r="G286" s="17" t="s">
        <v>797</v>
      </c>
      <c r="H286" s="16" t="s">
        <v>31</v>
      </c>
      <c r="I286" s="16">
        <v>13</v>
      </c>
      <c r="J286" s="16">
        <v>0</v>
      </c>
      <c r="K286" s="16">
        <f t="shared" si="5"/>
        <v>13</v>
      </c>
      <c r="L286" s="36">
        <v>17300000</v>
      </c>
      <c r="M286" s="17" t="s">
        <v>792</v>
      </c>
      <c r="N286" s="35">
        <v>212</v>
      </c>
      <c r="O286" s="16" t="s">
        <v>83</v>
      </c>
      <c r="P286" s="18">
        <v>121000000</v>
      </c>
      <c r="Q286" s="17" t="s">
        <v>793</v>
      </c>
      <c r="R286" s="35">
        <v>233</v>
      </c>
      <c r="S286" s="16" t="s">
        <v>51</v>
      </c>
      <c r="T286" s="38">
        <v>53880000</v>
      </c>
      <c r="U286" s="20" t="s">
        <v>22</v>
      </c>
      <c r="V286" s="16">
        <v>0</v>
      </c>
      <c r="W286" s="16">
        <v>0</v>
      </c>
      <c r="X286" s="16">
        <v>0</v>
      </c>
      <c r="Y286" s="16">
        <v>75</v>
      </c>
      <c r="Z286" s="16">
        <v>25</v>
      </c>
      <c r="AA286" s="16">
        <v>0</v>
      </c>
      <c r="AB286" s="16">
        <v>0</v>
      </c>
      <c r="AC286" s="16"/>
      <c r="AD286" s="22"/>
      <c r="AE286" s="23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</row>
    <row r="287" spans="1:84" s="2" customFormat="1" x14ac:dyDescent="0.2">
      <c r="A287" s="17" t="s">
        <v>3921</v>
      </c>
      <c r="B287" s="17" t="s">
        <v>45</v>
      </c>
      <c r="C287" s="17">
        <v>2025</v>
      </c>
      <c r="D287" s="17" t="str">
        <f t="array" ref="D287">_xlfn.SWITCH(E287,"Bagor","35.18.14","Sukomoro",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7" s="16" t="s">
        <v>785</v>
      </c>
      <c r="F287" s="17" t="s">
        <v>788</v>
      </c>
      <c r="G287" s="17" t="s">
        <v>798</v>
      </c>
      <c r="H287" s="16" t="s">
        <v>31</v>
      </c>
      <c r="I287" s="16">
        <v>14</v>
      </c>
      <c r="J287" s="16">
        <v>0</v>
      </c>
      <c r="K287" s="16">
        <f t="shared" si="5"/>
        <v>14</v>
      </c>
      <c r="L287" s="36">
        <v>18500000</v>
      </c>
      <c r="M287" s="17" t="s">
        <v>792</v>
      </c>
      <c r="N287" s="35" t="s">
        <v>799</v>
      </c>
      <c r="O287" s="16" t="s">
        <v>83</v>
      </c>
      <c r="P287" s="18">
        <v>128000000</v>
      </c>
      <c r="Q287" s="17" t="s">
        <v>793</v>
      </c>
      <c r="R287" s="35">
        <v>250</v>
      </c>
      <c r="S287" s="16" t="s">
        <v>51</v>
      </c>
      <c r="T287" s="38">
        <v>60000000</v>
      </c>
      <c r="U287" s="20" t="s">
        <v>22</v>
      </c>
      <c r="V287" s="16">
        <v>0</v>
      </c>
      <c r="W287" s="16">
        <v>0</v>
      </c>
      <c r="X287" s="16">
        <v>0</v>
      </c>
      <c r="Y287" s="16">
        <v>60</v>
      </c>
      <c r="Z287" s="16">
        <v>40</v>
      </c>
      <c r="AA287" s="16">
        <v>0</v>
      </c>
      <c r="AB287" s="16">
        <v>0</v>
      </c>
      <c r="AC287" s="16"/>
      <c r="AD287" s="22"/>
      <c r="AE287" s="23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</row>
    <row r="288" spans="1:84" s="2" customFormat="1" x14ac:dyDescent="0.2">
      <c r="A288" s="17" t="s">
        <v>3921</v>
      </c>
      <c r="B288" s="17" t="s">
        <v>45</v>
      </c>
      <c r="C288" s="17">
        <v>2025</v>
      </c>
      <c r="D288" s="17" t="str">
        <f t="array" ref="D288">_xlfn.SWITCH(E288,"Bagor","35.18.14","Sukomoro",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8" s="16" t="s">
        <v>785</v>
      </c>
      <c r="F288" s="17" t="s">
        <v>328</v>
      </c>
      <c r="G288" s="17" t="s">
        <v>800</v>
      </c>
      <c r="H288" s="16" t="s">
        <v>31</v>
      </c>
      <c r="I288" s="16">
        <v>8</v>
      </c>
      <c r="J288" s="16">
        <v>0</v>
      </c>
      <c r="K288" s="16">
        <f t="shared" si="5"/>
        <v>8</v>
      </c>
      <c r="L288" s="36">
        <v>11000000</v>
      </c>
      <c r="M288" s="17" t="s">
        <v>792</v>
      </c>
      <c r="N288" s="35">
        <v>132</v>
      </c>
      <c r="O288" s="16" t="s">
        <v>83</v>
      </c>
      <c r="P288" s="18">
        <v>86600000</v>
      </c>
      <c r="Q288" s="17" t="s">
        <v>793</v>
      </c>
      <c r="R288" s="35">
        <v>145</v>
      </c>
      <c r="S288" s="16" t="s">
        <v>51</v>
      </c>
      <c r="T288" s="38">
        <v>32200000</v>
      </c>
      <c r="U288" s="20" t="s">
        <v>22</v>
      </c>
      <c r="V288" s="16">
        <v>0</v>
      </c>
      <c r="W288" s="16">
        <v>0</v>
      </c>
      <c r="X288" s="16">
        <v>0</v>
      </c>
      <c r="Y288" s="16">
        <v>70</v>
      </c>
      <c r="Z288" s="16">
        <v>30</v>
      </c>
      <c r="AA288" s="16">
        <v>0</v>
      </c>
      <c r="AB288" s="16">
        <v>0</v>
      </c>
      <c r="AC288" s="16"/>
      <c r="AD288" s="22"/>
      <c r="AE288" s="23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</row>
    <row r="289" spans="1:84" s="2" customFormat="1" x14ac:dyDescent="0.2">
      <c r="A289" s="17" t="s">
        <v>3921</v>
      </c>
      <c r="B289" s="17" t="s">
        <v>45</v>
      </c>
      <c r="C289" s="17">
        <v>2025</v>
      </c>
      <c r="D289" s="17" t="str">
        <f t="array" ref="D289">_xlfn.SWITCH(E289,"Bagor","35.18.14","Sukomoro",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9" s="16" t="s">
        <v>785</v>
      </c>
      <c r="F289" s="17" t="s">
        <v>801</v>
      </c>
      <c r="G289" s="17" t="s">
        <v>802</v>
      </c>
      <c r="H289" s="16" t="s">
        <v>31</v>
      </c>
      <c r="I289" s="16">
        <v>9</v>
      </c>
      <c r="J289" s="16">
        <v>0</v>
      </c>
      <c r="K289" s="16">
        <f t="shared" si="5"/>
        <v>9</v>
      </c>
      <c r="L289" s="36">
        <v>11000000</v>
      </c>
      <c r="M289" s="17" t="s">
        <v>792</v>
      </c>
      <c r="N289" s="35">
        <v>132</v>
      </c>
      <c r="O289" s="16" t="s">
        <v>83</v>
      </c>
      <c r="P289" s="18">
        <v>86600000</v>
      </c>
      <c r="Q289" s="17" t="s">
        <v>793</v>
      </c>
      <c r="R289" s="35">
        <v>145</v>
      </c>
      <c r="S289" s="16" t="s">
        <v>51</v>
      </c>
      <c r="T289" s="38">
        <v>34200000</v>
      </c>
      <c r="U289" s="20" t="s">
        <v>22</v>
      </c>
      <c r="V289" s="16">
        <v>0</v>
      </c>
      <c r="W289" s="16">
        <v>0</v>
      </c>
      <c r="X289" s="16">
        <v>0</v>
      </c>
      <c r="Y289" s="16">
        <v>75</v>
      </c>
      <c r="Z289" s="16">
        <v>25</v>
      </c>
      <c r="AA289" s="16">
        <v>0</v>
      </c>
      <c r="AB289" s="16">
        <v>0</v>
      </c>
      <c r="AC289" s="16"/>
      <c r="AD289" s="22"/>
      <c r="AE289" s="23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</row>
    <row r="290" spans="1:84" s="2" customFormat="1" x14ac:dyDescent="0.2">
      <c r="A290" s="17" t="s">
        <v>3921</v>
      </c>
      <c r="B290" s="17" t="s">
        <v>45</v>
      </c>
      <c r="C290" s="17">
        <v>2025</v>
      </c>
      <c r="D290" s="17" t="str">
        <f t="array" ref="D290">_xlfn.SWITCH(E290,"Bagor","35.18.14","Sukomoro",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0" s="16" t="s">
        <v>157</v>
      </c>
      <c r="F290" s="17" t="s">
        <v>803</v>
      </c>
      <c r="G290" s="17" t="s">
        <v>804</v>
      </c>
      <c r="H290" s="16" t="s">
        <v>81</v>
      </c>
      <c r="I290" s="16">
        <v>1</v>
      </c>
      <c r="J290" s="16">
        <v>13</v>
      </c>
      <c r="K290" s="16">
        <f t="shared" ref="K290:K353" si="6">J290+I290</f>
        <v>14</v>
      </c>
      <c r="L290" s="36">
        <v>26750000</v>
      </c>
      <c r="M290" s="17" t="s">
        <v>108</v>
      </c>
      <c r="N290" s="35">
        <v>653</v>
      </c>
      <c r="O290" s="16" t="s">
        <v>211</v>
      </c>
      <c r="P290" s="18">
        <v>291110000</v>
      </c>
      <c r="Q290" s="17" t="s">
        <v>57</v>
      </c>
      <c r="R290" s="35">
        <v>687</v>
      </c>
      <c r="S290" s="16" t="s">
        <v>51</v>
      </c>
      <c r="T290" s="36">
        <v>156000000</v>
      </c>
      <c r="U290" s="20" t="s">
        <v>22</v>
      </c>
      <c r="V290" s="16" t="s">
        <v>52</v>
      </c>
      <c r="W290" s="16">
        <v>900</v>
      </c>
      <c r="X290" s="16" t="s">
        <v>53</v>
      </c>
      <c r="Y290" s="16">
        <v>65</v>
      </c>
      <c r="Z290" s="16">
        <v>35</v>
      </c>
      <c r="AA290" s="16">
        <v>0</v>
      </c>
      <c r="AB290" s="16">
        <v>0</v>
      </c>
      <c r="AC290" s="16"/>
      <c r="AD290" s="22"/>
      <c r="AE290" s="23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</row>
    <row r="291" spans="1:84" s="2" customFormat="1" x14ac:dyDescent="0.2">
      <c r="A291" s="17" t="s">
        <v>3921</v>
      </c>
      <c r="B291" s="17" t="s">
        <v>45</v>
      </c>
      <c r="C291" s="17">
        <v>2025</v>
      </c>
      <c r="D291" s="17" t="str">
        <f t="array" ref="D291">_xlfn.SWITCH(E291,"Bagor","35.18.14","Sukomoro",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1" s="16" t="s">
        <v>157</v>
      </c>
      <c r="F291" s="17" t="s">
        <v>803</v>
      </c>
      <c r="G291" s="17" t="s">
        <v>805</v>
      </c>
      <c r="H291" s="16" t="s">
        <v>31</v>
      </c>
      <c r="I291" s="16">
        <v>0</v>
      </c>
      <c r="J291" s="16">
        <v>12</v>
      </c>
      <c r="K291" s="16">
        <f t="shared" si="6"/>
        <v>12</v>
      </c>
      <c r="L291" s="36">
        <v>151500000</v>
      </c>
      <c r="M291" s="17" t="s">
        <v>108</v>
      </c>
      <c r="N291" s="35">
        <v>280</v>
      </c>
      <c r="O291" s="16" t="s">
        <v>211</v>
      </c>
      <c r="P291" s="18">
        <v>157953000</v>
      </c>
      <c r="Q291" s="17" t="s">
        <v>57</v>
      </c>
      <c r="R291" s="35">
        <v>92</v>
      </c>
      <c r="S291" s="16" t="s">
        <v>806</v>
      </c>
      <c r="T291" s="36">
        <v>64600000</v>
      </c>
      <c r="U291" s="20" t="s">
        <v>22</v>
      </c>
      <c r="V291" s="16" t="s">
        <v>52</v>
      </c>
      <c r="W291" s="16">
        <v>300</v>
      </c>
      <c r="X291" s="16" t="s">
        <v>53</v>
      </c>
      <c r="Y291" s="16">
        <v>70</v>
      </c>
      <c r="Z291" s="16">
        <v>30</v>
      </c>
      <c r="AA291" s="16">
        <v>0</v>
      </c>
      <c r="AB291" s="16">
        <v>0</v>
      </c>
      <c r="AC291" s="16"/>
      <c r="AD291" s="22"/>
      <c r="AE291" s="23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</row>
    <row r="292" spans="1:84" s="2" customFormat="1" x14ac:dyDescent="0.2">
      <c r="A292" s="17" t="s">
        <v>3921</v>
      </c>
      <c r="B292" s="17" t="s">
        <v>45</v>
      </c>
      <c r="C292" s="17">
        <v>2025</v>
      </c>
      <c r="D292" s="17" t="str">
        <f t="array" ref="D292">_xlfn.SWITCH(E292,"Bagor","35.18.14","Sukomoro",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2" s="16" t="s">
        <v>157</v>
      </c>
      <c r="F292" s="17" t="s">
        <v>312</v>
      </c>
      <c r="G292" s="17" t="s">
        <v>807</v>
      </c>
      <c r="H292" s="16" t="s">
        <v>31</v>
      </c>
      <c r="I292" s="16">
        <v>1</v>
      </c>
      <c r="J292" s="16">
        <v>15</v>
      </c>
      <c r="K292" s="16">
        <f t="shared" si="6"/>
        <v>16</v>
      </c>
      <c r="L292" s="36">
        <v>145250000</v>
      </c>
      <c r="M292" s="17" t="s">
        <v>108</v>
      </c>
      <c r="N292" s="35">
        <v>372</v>
      </c>
      <c r="O292" s="16" t="s">
        <v>211</v>
      </c>
      <c r="P292" s="18">
        <v>212578000</v>
      </c>
      <c r="Q292" s="17" t="s">
        <v>57</v>
      </c>
      <c r="R292" s="35">
        <v>122</v>
      </c>
      <c r="S292" s="16" t="s">
        <v>51</v>
      </c>
      <c r="T292" s="36">
        <v>71956000</v>
      </c>
      <c r="U292" s="20" t="s">
        <v>22</v>
      </c>
      <c r="V292" s="16" t="s">
        <v>52</v>
      </c>
      <c r="W292" s="16">
        <v>450</v>
      </c>
      <c r="X292" s="16" t="s">
        <v>53</v>
      </c>
      <c r="Y292" s="16">
        <v>60</v>
      </c>
      <c r="Z292" s="16">
        <v>40</v>
      </c>
      <c r="AA292" s="16">
        <v>0</v>
      </c>
      <c r="AB292" s="16">
        <v>0</v>
      </c>
      <c r="AC292" s="16"/>
      <c r="AD292" s="22"/>
      <c r="AE292" s="23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</row>
    <row r="293" spans="1:84" s="2" customFormat="1" x14ac:dyDescent="0.2">
      <c r="A293" s="17" t="s">
        <v>3921</v>
      </c>
      <c r="B293" s="17" t="s">
        <v>45</v>
      </c>
      <c r="C293" s="17">
        <v>2025</v>
      </c>
      <c r="D293" s="17" t="str">
        <f t="array" ref="D293">_xlfn.SWITCH(E293,"Bagor","35.18.14","Sukomoro",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3" s="16" t="s">
        <v>157</v>
      </c>
      <c r="F293" s="17" t="s">
        <v>808</v>
      </c>
      <c r="G293" s="17" t="s">
        <v>809</v>
      </c>
      <c r="H293" s="16" t="s">
        <v>31</v>
      </c>
      <c r="I293" s="16">
        <v>3</v>
      </c>
      <c r="J293" s="16">
        <v>3</v>
      </c>
      <c r="K293" s="16">
        <f t="shared" si="6"/>
        <v>6</v>
      </c>
      <c r="L293" s="36">
        <v>17500000</v>
      </c>
      <c r="M293" s="17" t="s">
        <v>172</v>
      </c>
      <c r="N293" s="35">
        <v>52</v>
      </c>
      <c r="O293" s="16" t="s">
        <v>83</v>
      </c>
      <c r="P293" s="18">
        <v>89800000</v>
      </c>
      <c r="Q293" s="17" t="s">
        <v>173</v>
      </c>
      <c r="R293" s="35">
        <v>21</v>
      </c>
      <c r="S293" s="16" t="s">
        <v>83</v>
      </c>
      <c r="T293" s="36">
        <v>45000000</v>
      </c>
      <c r="U293" s="20" t="s">
        <v>22</v>
      </c>
      <c r="V293" s="16" t="s">
        <v>50</v>
      </c>
      <c r="W293" s="16">
        <v>180</v>
      </c>
      <c r="X293" s="16" t="s">
        <v>51</v>
      </c>
      <c r="Y293" s="16">
        <v>100</v>
      </c>
      <c r="Z293" s="16">
        <v>0</v>
      </c>
      <c r="AA293" s="16">
        <v>0</v>
      </c>
      <c r="AB293" s="16">
        <v>0</v>
      </c>
      <c r="AC293" s="16"/>
      <c r="AD293" s="22"/>
      <c r="AE293" s="23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</row>
    <row r="294" spans="1:84" s="2" customFormat="1" x14ac:dyDescent="0.2">
      <c r="A294" s="17" t="s">
        <v>3921</v>
      </c>
      <c r="B294" s="17" t="s">
        <v>45</v>
      </c>
      <c r="C294" s="17">
        <v>2025</v>
      </c>
      <c r="D294" s="17" t="str">
        <f t="array" ref="D294">_xlfn.SWITCH(E294,"Bagor","35.18.14","Sukomoro",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4" s="16" t="s">
        <v>157</v>
      </c>
      <c r="F294" s="17" t="s">
        <v>808</v>
      </c>
      <c r="G294" s="17" t="s">
        <v>810</v>
      </c>
      <c r="H294" s="16" t="s">
        <v>31</v>
      </c>
      <c r="I294" s="16">
        <v>3</v>
      </c>
      <c r="J294" s="16">
        <v>2</v>
      </c>
      <c r="K294" s="16">
        <f t="shared" si="6"/>
        <v>5</v>
      </c>
      <c r="L294" s="36">
        <v>15000000</v>
      </c>
      <c r="M294" s="17" t="s">
        <v>172</v>
      </c>
      <c r="N294" s="35">
        <v>48</v>
      </c>
      <c r="O294" s="16" t="s">
        <v>83</v>
      </c>
      <c r="P294" s="18">
        <v>85200000</v>
      </c>
      <c r="Q294" s="17" t="s">
        <v>173</v>
      </c>
      <c r="R294" s="35">
        <v>19.5</v>
      </c>
      <c r="S294" s="16" t="s">
        <v>83</v>
      </c>
      <c r="T294" s="36">
        <v>40000000</v>
      </c>
      <c r="U294" s="20" t="s">
        <v>22</v>
      </c>
      <c r="V294" s="16" t="s">
        <v>50</v>
      </c>
      <c r="W294" s="16">
        <v>160</v>
      </c>
      <c r="X294" s="16" t="s">
        <v>51</v>
      </c>
      <c r="Y294" s="16">
        <v>100</v>
      </c>
      <c r="Z294" s="16">
        <v>0</v>
      </c>
      <c r="AA294" s="16">
        <v>0</v>
      </c>
      <c r="AB294" s="16">
        <v>0</v>
      </c>
      <c r="AC294" s="16"/>
      <c r="AD294" s="22"/>
      <c r="AE294" s="23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</row>
    <row r="295" spans="1:84" s="2" customFormat="1" x14ac:dyDescent="0.2">
      <c r="A295" s="17" t="s">
        <v>3921</v>
      </c>
      <c r="B295" s="17" t="s">
        <v>45</v>
      </c>
      <c r="C295" s="17">
        <v>2025</v>
      </c>
      <c r="D295" s="17" t="str">
        <f t="array" ref="D295">_xlfn.SWITCH(E295,"Bagor","35.18.14","Sukomoro",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5" s="16" t="s">
        <v>157</v>
      </c>
      <c r="F295" s="17" t="s">
        <v>808</v>
      </c>
      <c r="G295" s="17" t="s">
        <v>811</v>
      </c>
      <c r="H295" s="16" t="s">
        <v>31</v>
      </c>
      <c r="I295" s="16">
        <v>4</v>
      </c>
      <c r="J295" s="16">
        <v>2</v>
      </c>
      <c r="K295" s="16">
        <f t="shared" si="6"/>
        <v>6</v>
      </c>
      <c r="L295" s="36">
        <v>17500000</v>
      </c>
      <c r="M295" s="17" t="s">
        <v>172</v>
      </c>
      <c r="N295" s="35">
        <v>52</v>
      </c>
      <c r="O295" s="16" t="s">
        <v>83</v>
      </c>
      <c r="P295" s="18">
        <v>91800000</v>
      </c>
      <c r="Q295" s="17" t="s">
        <v>173</v>
      </c>
      <c r="R295" s="35">
        <v>21</v>
      </c>
      <c r="S295" s="16" t="s">
        <v>83</v>
      </c>
      <c r="T295" s="36">
        <v>45000000</v>
      </c>
      <c r="U295" s="20" t="s">
        <v>22</v>
      </c>
      <c r="V295" s="16" t="s">
        <v>50</v>
      </c>
      <c r="W295" s="16">
        <v>180</v>
      </c>
      <c r="X295" s="16" t="s">
        <v>51</v>
      </c>
      <c r="Y295" s="16">
        <v>100</v>
      </c>
      <c r="Z295" s="16">
        <v>0</v>
      </c>
      <c r="AA295" s="16">
        <v>0</v>
      </c>
      <c r="AB295" s="16">
        <v>0</v>
      </c>
      <c r="AC295" s="16"/>
      <c r="AD295" s="22"/>
      <c r="AE295" s="23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</row>
    <row r="296" spans="1:84" s="2" customFormat="1" x14ac:dyDescent="0.2">
      <c r="A296" s="17" t="s">
        <v>3921</v>
      </c>
      <c r="B296" s="17" t="s">
        <v>45</v>
      </c>
      <c r="C296" s="17">
        <v>2025</v>
      </c>
      <c r="D296" s="17" t="str">
        <f t="array" ref="D296">_xlfn.SWITCH(E296,"Bagor","35.18.14","Sukomoro",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6" s="16" t="s">
        <v>157</v>
      </c>
      <c r="F296" s="17" t="s">
        <v>188</v>
      </c>
      <c r="G296" s="17" t="s">
        <v>812</v>
      </c>
      <c r="H296" s="16" t="s">
        <v>31</v>
      </c>
      <c r="I296" s="16">
        <v>3</v>
      </c>
      <c r="J296" s="16">
        <v>1</v>
      </c>
      <c r="K296" s="16">
        <f t="shared" si="6"/>
        <v>4</v>
      </c>
      <c r="L296" s="36">
        <v>10000000</v>
      </c>
      <c r="M296" s="17" t="s">
        <v>172</v>
      </c>
      <c r="N296" s="35">
        <v>38</v>
      </c>
      <c r="O296" s="16" t="s">
        <v>83</v>
      </c>
      <c r="P296" s="18">
        <v>73700000</v>
      </c>
      <c r="Q296" s="17" t="s">
        <v>173</v>
      </c>
      <c r="R296" s="35">
        <v>15.3</v>
      </c>
      <c r="S296" s="16" t="s">
        <v>83</v>
      </c>
      <c r="T296" s="36">
        <v>32500000</v>
      </c>
      <c r="U296" s="20" t="s">
        <v>22</v>
      </c>
      <c r="V296" s="16" t="s">
        <v>50</v>
      </c>
      <c r="W296" s="16">
        <v>130</v>
      </c>
      <c r="X296" s="16" t="s">
        <v>51</v>
      </c>
      <c r="Y296" s="16">
        <v>100</v>
      </c>
      <c r="Z296" s="16">
        <v>0</v>
      </c>
      <c r="AA296" s="16">
        <v>0</v>
      </c>
      <c r="AB296" s="16">
        <v>0</v>
      </c>
      <c r="AC296" s="16"/>
      <c r="AD296" s="22"/>
      <c r="AE296" s="23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</row>
    <row r="297" spans="1:84" s="2" customFormat="1" x14ac:dyDescent="0.2">
      <c r="A297" s="17" t="s">
        <v>3921</v>
      </c>
      <c r="B297" s="17" t="s">
        <v>45</v>
      </c>
      <c r="C297" s="17">
        <v>2025</v>
      </c>
      <c r="D297" s="17" t="str">
        <f t="array" ref="D297">_xlfn.SWITCH(E297,"Bagor","35.18.14","Sukomoro",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297" s="16" t="s">
        <v>149</v>
      </c>
      <c r="F297" s="17" t="s">
        <v>813</v>
      </c>
      <c r="G297" s="17" t="s">
        <v>644</v>
      </c>
      <c r="H297" s="16" t="s">
        <v>31</v>
      </c>
      <c r="I297" s="16">
        <v>13</v>
      </c>
      <c r="J297" s="16">
        <v>12</v>
      </c>
      <c r="K297" s="16">
        <f t="shared" si="6"/>
        <v>25</v>
      </c>
      <c r="L297" s="38">
        <v>57500000</v>
      </c>
      <c r="M297" s="17" t="s">
        <v>565</v>
      </c>
      <c r="N297" s="35" t="s">
        <v>814</v>
      </c>
      <c r="O297" s="16" t="s">
        <v>83</v>
      </c>
      <c r="P297" s="18">
        <v>63500000</v>
      </c>
      <c r="Q297" s="17" t="s">
        <v>34</v>
      </c>
      <c r="R297" s="35">
        <v>83</v>
      </c>
      <c r="S297" s="16" t="s">
        <v>83</v>
      </c>
      <c r="T297" s="38">
        <v>26200000</v>
      </c>
      <c r="U297" s="20" t="s">
        <v>22</v>
      </c>
      <c r="V297" s="16">
        <v>0</v>
      </c>
      <c r="W297" s="16">
        <v>0</v>
      </c>
      <c r="X297" s="16">
        <v>0</v>
      </c>
      <c r="Y297" s="16">
        <v>40</v>
      </c>
      <c r="Z297" s="16">
        <v>30</v>
      </c>
      <c r="AA297" s="16">
        <v>30</v>
      </c>
      <c r="AB297" s="16">
        <v>0</v>
      </c>
      <c r="AC297" s="16"/>
      <c r="AD297" s="22"/>
      <c r="AE297" s="23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</row>
    <row r="298" spans="1:84" s="2" customFormat="1" x14ac:dyDescent="0.2">
      <c r="A298" s="17" t="s">
        <v>3921</v>
      </c>
      <c r="B298" s="17" t="s">
        <v>45</v>
      </c>
      <c r="C298" s="17">
        <v>2025</v>
      </c>
      <c r="D298" s="17" t="str">
        <f t="array" ref="D298">_xlfn.SWITCH(E298,"Bagor","35.18.14","Sukomoro",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298" s="16" t="s">
        <v>149</v>
      </c>
      <c r="F298" s="17" t="s">
        <v>813</v>
      </c>
      <c r="G298" s="17" t="s">
        <v>815</v>
      </c>
      <c r="H298" s="16" t="s">
        <v>31</v>
      </c>
      <c r="I298" s="16">
        <v>3</v>
      </c>
      <c r="J298" s="16">
        <v>3</v>
      </c>
      <c r="K298" s="16">
        <f t="shared" si="6"/>
        <v>6</v>
      </c>
      <c r="L298" s="38">
        <v>11000000</v>
      </c>
      <c r="M298" s="17" t="s">
        <v>172</v>
      </c>
      <c r="N298" s="35">
        <v>80</v>
      </c>
      <c r="O298" s="16" t="s">
        <v>83</v>
      </c>
      <c r="P298" s="18">
        <v>172000000</v>
      </c>
      <c r="Q298" s="17" t="s">
        <v>173</v>
      </c>
      <c r="R298" s="35">
        <v>32</v>
      </c>
      <c r="S298" s="16" t="s">
        <v>83</v>
      </c>
      <c r="T298" s="38">
        <v>80500000</v>
      </c>
      <c r="U298" s="20" t="s">
        <v>22</v>
      </c>
      <c r="V298" s="16" t="s">
        <v>50</v>
      </c>
      <c r="W298" s="16">
        <v>290</v>
      </c>
      <c r="X298" s="16" t="s">
        <v>51</v>
      </c>
      <c r="Y298" s="16">
        <v>100</v>
      </c>
      <c r="Z298" s="16">
        <v>0</v>
      </c>
      <c r="AA298" s="16">
        <v>0</v>
      </c>
      <c r="AB298" s="16">
        <v>0</v>
      </c>
      <c r="AC298" s="16"/>
      <c r="AD298" s="22"/>
      <c r="AE298" s="23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</row>
    <row r="299" spans="1:84" s="2" customFormat="1" x14ac:dyDescent="0.2">
      <c r="A299" s="17" t="s">
        <v>3921</v>
      </c>
      <c r="B299" s="17" t="s">
        <v>45</v>
      </c>
      <c r="C299" s="17">
        <v>2025</v>
      </c>
      <c r="D299" s="17" t="str">
        <f t="array" ref="D299">_xlfn.SWITCH(E299,"Bagor","35.18.14","Sukomoro",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299" s="16" t="s">
        <v>149</v>
      </c>
      <c r="F299" s="17" t="s">
        <v>149</v>
      </c>
      <c r="G299" s="17" t="s">
        <v>816</v>
      </c>
      <c r="H299" s="16" t="s">
        <v>47</v>
      </c>
      <c r="I299" s="16">
        <v>4</v>
      </c>
      <c r="J299" s="16">
        <v>5</v>
      </c>
      <c r="K299" s="16">
        <f t="shared" si="6"/>
        <v>9</v>
      </c>
      <c r="L299" s="38">
        <v>155000000</v>
      </c>
      <c r="M299" s="17" t="s">
        <v>48</v>
      </c>
      <c r="N299" s="35">
        <v>66</v>
      </c>
      <c r="O299" s="16" t="s">
        <v>211</v>
      </c>
      <c r="P299" s="18">
        <v>16250000</v>
      </c>
      <c r="Q299" s="17" t="s">
        <v>57</v>
      </c>
      <c r="R299" s="35">
        <v>17</v>
      </c>
      <c r="S299" s="16" t="s">
        <v>51</v>
      </c>
      <c r="T299" s="38">
        <v>8515000</v>
      </c>
      <c r="U299" s="20" t="s">
        <v>22</v>
      </c>
      <c r="V299" s="16" t="s">
        <v>52</v>
      </c>
      <c r="W299" s="16">
        <v>170</v>
      </c>
      <c r="X299" s="16" t="s">
        <v>53</v>
      </c>
      <c r="Y299" s="16">
        <v>65</v>
      </c>
      <c r="Z299" s="16">
        <v>35</v>
      </c>
      <c r="AA299" s="16">
        <v>0</v>
      </c>
      <c r="AB299" s="16">
        <v>0</v>
      </c>
      <c r="AC299" s="16"/>
      <c r="AD299" s="22"/>
      <c r="AE299" s="23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</row>
    <row r="300" spans="1:84" s="2" customFormat="1" x14ac:dyDescent="0.2">
      <c r="A300" s="17" t="s">
        <v>3921</v>
      </c>
      <c r="B300" s="17" t="s">
        <v>45</v>
      </c>
      <c r="C300" s="17">
        <v>2025</v>
      </c>
      <c r="D300" s="17" t="str">
        <f t="array" ref="D300">_xlfn.SWITCH(E300,"Bagor","35.18.14","Sukomoro",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0" s="16" t="s">
        <v>162</v>
      </c>
      <c r="F300" s="17" t="s">
        <v>817</v>
      </c>
      <c r="G300" s="17" t="s">
        <v>602</v>
      </c>
      <c r="H300" s="16" t="s">
        <v>31</v>
      </c>
      <c r="I300" s="16">
        <v>2</v>
      </c>
      <c r="J300" s="16">
        <v>2</v>
      </c>
      <c r="K300" s="16">
        <f t="shared" si="6"/>
        <v>4</v>
      </c>
      <c r="L300" s="38">
        <v>15830000</v>
      </c>
      <c r="M300" s="17" t="s">
        <v>172</v>
      </c>
      <c r="N300" s="36">
        <v>40</v>
      </c>
      <c r="O300" s="16" t="s">
        <v>83</v>
      </c>
      <c r="P300" s="18">
        <v>76000000</v>
      </c>
      <c r="Q300" s="17" t="s">
        <v>173</v>
      </c>
      <c r="R300" s="35">
        <v>14</v>
      </c>
      <c r="S300" s="16" t="s">
        <v>83</v>
      </c>
      <c r="T300" s="36">
        <v>35000000</v>
      </c>
      <c r="U300" s="20" t="s">
        <v>22</v>
      </c>
      <c r="V300" s="16" t="s">
        <v>50</v>
      </c>
      <c r="W300" s="16">
        <v>140</v>
      </c>
      <c r="X300" s="16" t="s">
        <v>51</v>
      </c>
      <c r="Y300" s="16">
        <v>100</v>
      </c>
      <c r="Z300" s="16">
        <v>0</v>
      </c>
      <c r="AA300" s="16">
        <v>0</v>
      </c>
      <c r="AB300" s="16">
        <v>0</v>
      </c>
      <c r="AC300" s="16"/>
      <c r="AD300" s="22"/>
      <c r="AE300" s="23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</row>
    <row r="301" spans="1:84" s="2" customFormat="1" x14ac:dyDescent="0.2">
      <c r="A301" s="17" t="s">
        <v>3921</v>
      </c>
      <c r="B301" s="17" t="s">
        <v>45</v>
      </c>
      <c r="C301" s="17">
        <v>2025</v>
      </c>
      <c r="D301" s="17" t="str">
        <f t="array" ref="D301">_xlfn.SWITCH(E301,"Bagor","35.18.14","Sukomoro",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1" s="16" t="s">
        <v>162</v>
      </c>
      <c r="F301" s="17" t="s">
        <v>818</v>
      </c>
      <c r="G301" s="17" t="s">
        <v>819</v>
      </c>
      <c r="H301" s="16" t="s">
        <v>31</v>
      </c>
      <c r="I301" s="16">
        <v>5</v>
      </c>
      <c r="J301" s="16">
        <v>16</v>
      </c>
      <c r="K301" s="16">
        <f t="shared" si="6"/>
        <v>21</v>
      </c>
      <c r="L301" s="38">
        <v>45000000</v>
      </c>
      <c r="M301" s="17" t="s">
        <v>167</v>
      </c>
      <c r="N301" s="51">
        <v>7.5</v>
      </c>
      <c r="O301" s="16" t="s">
        <v>83</v>
      </c>
      <c r="P301" s="18">
        <v>45000000</v>
      </c>
      <c r="Q301" s="17" t="s">
        <v>168</v>
      </c>
      <c r="R301" s="35">
        <v>40000</v>
      </c>
      <c r="S301" s="16" t="s">
        <v>143</v>
      </c>
      <c r="T301" s="36">
        <v>24250000</v>
      </c>
      <c r="U301" s="20" t="s">
        <v>22</v>
      </c>
      <c r="V301" s="16">
        <v>0</v>
      </c>
      <c r="W301" s="16">
        <v>0</v>
      </c>
      <c r="X301" s="16">
        <v>0</v>
      </c>
      <c r="Y301" s="16">
        <v>60</v>
      </c>
      <c r="Z301" s="16">
        <v>40</v>
      </c>
      <c r="AA301" s="16">
        <v>0</v>
      </c>
      <c r="AB301" s="16">
        <v>0</v>
      </c>
      <c r="AC301" s="16"/>
      <c r="AD301" s="22"/>
      <c r="AE301" s="23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</row>
    <row r="302" spans="1:84" s="2" customFormat="1" x14ac:dyDescent="0.2">
      <c r="A302" s="17" t="s">
        <v>3921</v>
      </c>
      <c r="B302" s="17" t="s">
        <v>45</v>
      </c>
      <c r="C302" s="17">
        <v>2025</v>
      </c>
      <c r="D302" s="17" t="str">
        <f t="array" ref="D302">_xlfn.SWITCH(E302,"Bagor","35.18.14","Sukomoro",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2" s="16" t="s">
        <v>162</v>
      </c>
      <c r="F302" s="17" t="s">
        <v>820</v>
      </c>
      <c r="G302" s="17" t="s">
        <v>821</v>
      </c>
      <c r="H302" s="16" t="s">
        <v>47</v>
      </c>
      <c r="I302" s="16">
        <v>2</v>
      </c>
      <c r="J302" s="16">
        <v>4</v>
      </c>
      <c r="K302" s="16">
        <f t="shared" si="6"/>
        <v>6</v>
      </c>
      <c r="L302" s="38">
        <v>37500000</v>
      </c>
      <c r="M302" s="17" t="s">
        <v>554</v>
      </c>
      <c r="N302" s="36">
        <v>41</v>
      </c>
      <c r="O302" s="16" t="s">
        <v>49</v>
      </c>
      <c r="P302" s="18">
        <v>47000000</v>
      </c>
      <c r="Q302" s="17" t="s">
        <v>96</v>
      </c>
      <c r="R302" s="35" t="s">
        <v>822</v>
      </c>
      <c r="S302" s="16" t="s">
        <v>823</v>
      </c>
      <c r="T302" s="36">
        <v>24000000</v>
      </c>
      <c r="U302" s="20" t="s">
        <v>22</v>
      </c>
      <c r="V302" s="16">
        <v>0</v>
      </c>
      <c r="W302" s="16">
        <v>0</v>
      </c>
      <c r="X302" s="16">
        <v>0</v>
      </c>
      <c r="Y302" s="16">
        <v>65</v>
      </c>
      <c r="Z302" s="16">
        <v>35</v>
      </c>
      <c r="AA302" s="16">
        <v>0</v>
      </c>
      <c r="AB302" s="16">
        <v>0</v>
      </c>
      <c r="AC302" s="16"/>
      <c r="AD302" s="22"/>
      <c r="AE302" s="23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</row>
    <row r="303" spans="1:84" s="2" customFormat="1" x14ac:dyDescent="0.2">
      <c r="A303" s="17" t="s">
        <v>3921</v>
      </c>
      <c r="B303" s="17" t="s">
        <v>45</v>
      </c>
      <c r="C303" s="17">
        <v>2025</v>
      </c>
      <c r="D303" s="17" t="str">
        <f t="array" ref="D303">_xlfn.SWITCH(E303,"Bagor","35.18.14","Sukomoro",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3" s="16" t="s">
        <v>162</v>
      </c>
      <c r="F303" s="17" t="s">
        <v>824</v>
      </c>
      <c r="G303" s="17" t="s">
        <v>825</v>
      </c>
      <c r="H303" s="16" t="s">
        <v>31</v>
      </c>
      <c r="I303" s="16">
        <v>0</v>
      </c>
      <c r="J303" s="16">
        <v>5</v>
      </c>
      <c r="K303" s="16">
        <f t="shared" si="6"/>
        <v>5</v>
      </c>
      <c r="L303" s="38">
        <v>13030000</v>
      </c>
      <c r="M303" s="17" t="s">
        <v>159</v>
      </c>
      <c r="N303" s="36">
        <v>250</v>
      </c>
      <c r="O303" s="16" t="s">
        <v>83</v>
      </c>
      <c r="P303" s="18">
        <v>2575000000</v>
      </c>
      <c r="Q303" s="17" t="s">
        <v>826</v>
      </c>
      <c r="R303" s="35">
        <v>300</v>
      </c>
      <c r="S303" s="16" t="s">
        <v>83</v>
      </c>
      <c r="T303" s="36">
        <v>1350000000</v>
      </c>
      <c r="U303" s="20" t="s">
        <v>22</v>
      </c>
      <c r="V303" s="16" t="s">
        <v>52</v>
      </c>
      <c r="W303" s="16">
        <v>900</v>
      </c>
      <c r="X303" s="16" t="s">
        <v>53</v>
      </c>
      <c r="Y303" s="16">
        <v>60</v>
      </c>
      <c r="Z303" s="16">
        <v>40</v>
      </c>
      <c r="AA303" s="16">
        <v>0</v>
      </c>
      <c r="AB303" s="16">
        <v>0</v>
      </c>
      <c r="AC303" s="16" t="s">
        <v>827</v>
      </c>
      <c r="AD303" s="22">
        <v>39735</v>
      </c>
      <c r="AE303" s="23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</row>
    <row r="304" spans="1:84" s="2" customFormat="1" x14ac:dyDescent="0.2">
      <c r="A304" s="17" t="s">
        <v>3921</v>
      </c>
      <c r="B304" s="17" t="s">
        <v>45</v>
      </c>
      <c r="C304" s="17">
        <v>2025</v>
      </c>
      <c r="D304" s="17" t="str">
        <f t="array" ref="D304">_xlfn.SWITCH(E304,"Bagor","35.18.14","Sukomoro",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4" s="16" t="s">
        <v>162</v>
      </c>
      <c r="F304" s="17" t="s">
        <v>820</v>
      </c>
      <c r="G304" s="17" t="s">
        <v>828</v>
      </c>
      <c r="H304" s="16" t="s">
        <v>31</v>
      </c>
      <c r="I304" s="16">
        <v>2</v>
      </c>
      <c r="J304" s="16">
        <v>2</v>
      </c>
      <c r="K304" s="16">
        <f t="shared" si="6"/>
        <v>4</v>
      </c>
      <c r="L304" s="38">
        <v>10000000</v>
      </c>
      <c r="M304" s="17" t="s">
        <v>172</v>
      </c>
      <c r="N304" s="36">
        <v>32</v>
      </c>
      <c r="O304" s="16" t="s">
        <v>83</v>
      </c>
      <c r="P304" s="18">
        <v>67120000</v>
      </c>
      <c r="Q304" s="17" t="s">
        <v>173</v>
      </c>
      <c r="R304" s="35">
        <v>13</v>
      </c>
      <c r="S304" s="16" t="s">
        <v>83</v>
      </c>
      <c r="T304" s="36">
        <v>27500000</v>
      </c>
      <c r="U304" s="20" t="s">
        <v>22</v>
      </c>
      <c r="V304" s="16" t="s">
        <v>50</v>
      </c>
      <c r="W304" s="16">
        <v>110</v>
      </c>
      <c r="X304" s="16" t="s">
        <v>51</v>
      </c>
      <c r="Y304" s="16">
        <v>100</v>
      </c>
      <c r="Z304" s="16">
        <v>0</v>
      </c>
      <c r="AA304" s="16">
        <v>0</v>
      </c>
      <c r="AB304" s="16">
        <v>0</v>
      </c>
      <c r="AC304" s="16"/>
      <c r="AD304" s="22"/>
      <c r="AE304" s="23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</row>
    <row r="305" spans="1:84" s="2" customFormat="1" x14ac:dyDescent="0.2">
      <c r="A305" s="17" t="s">
        <v>3921</v>
      </c>
      <c r="B305" s="17" t="s">
        <v>45</v>
      </c>
      <c r="C305" s="17">
        <v>2025</v>
      </c>
      <c r="D305" s="17" t="str">
        <f t="array" ref="D305">_xlfn.SWITCH(E305,"Bagor","35.18.14","Sukomoro",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5" s="16" t="s">
        <v>162</v>
      </c>
      <c r="F305" s="17" t="s">
        <v>817</v>
      </c>
      <c r="G305" s="17" t="s">
        <v>829</v>
      </c>
      <c r="H305" s="16" t="s">
        <v>31</v>
      </c>
      <c r="I305" s="16">
        <v>3</v>
      </c>
      <c r="J305" s="16">
        <v>1</v>
      </c>
      <c r="K305" s="16">
        <f t="shared" si="6"/>
        <v>4</v>
      </c>
      <c r="L305" s="38">
        <v>10000000</v>
      </c>
      <c r="M305" s="17" t="s">
        <v>172</v>
      </c>
      <c r="N305" s="36">
        <v>32</v>
      </c>
      <c r="O305" s="16" t="s">
        <v>83</v>
      </c>
      <c r="P305" s="18">
        <v>68120000</v>
      </c>
      <c r="Q305" s="17" t="s">
        <v>173</v>
      </c>
      <c r="R305" s="35">
        <v>13</v>
      </c>
      <c r="S305" s="16" t="s">
        <v>83</v>
      </c>
      <c r="T305" s="36">
        <v>27500000</v>
      </c>
      <c r="U305" s="20" t="s">
        <v>22</v>
      </c>
      <c r="V305" s="16" t="s">
        <v>50</v>
      </c>
      <c r="W305" s="16">
        <v>110</v>
      </c>
      <c r="X305" s="16" t="s">
        <v>51</v>
      </c>
      <c r="Y305" s="16">
        <v>100</v>
      </c>
      <c r="Z305" s="16">
        <v>0</v>
      </c>
      <c r="AA305" s="16">
        <v>0</v>
      </c>
      <c r="AB305" s="16">
        <v>0</v>
      </c>
      <c r="AC305" s="16"/>
      <c r="AD305" s="22"/>
      <c r="AE305" s="23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</row>
    <row r="306" spans="1:84" s="2" customFormat="1" x14ac:dyDescent="0.2">
      <c r="A306" s="17" t="s">
        <v>3921</v>
      </c>
      <c r="B306" s="17" t="s">
        <v>45</v>
      </c>
      <c r="C306" s="17">
        <v>2025</v>
      </c>
      <c r="D306" s="17" t="str">
        <f t="array" ref="D306">_xlfn.SWITCH(E306,"Bagor","35.18.14","Sukomoro",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6" s="16" t="s">
        <v>162</v>
      </c>
      <c r="F306" s="17" t="s">
        <v>830</v>
      </c>
      <c r="G306" s="17" t="s">
        <v>706</v>
      </c>
      <c r="H306" s="16" t="s">
        <v>31</v>
      </c>
      <c r="I306" s="16">
        <v>2</v>
      </c>
      <c r="J306" s="16">
        <v>2</v>
      </c>
      <c r="K306" s="16">
        <f t="shared" si="6"/>
        <v>4</v>
      </c>
      <c r="L306" s="38">
        <v>15000000</v>
      </c>
      <c r="M306" s="17" t="s">
        <v>172</v>
      </c>
      <c r="N306" s="36">
        <v>43</v>
      </c>
      <c r="O306" s="16" t="s">
        <v>83</v>
      </c>
      <c r="P306" s="18">
        <v>79250000</v>
      </c>
      <c r="Q306" s="17" t="s">
        <v>173</v>
      </c>
      <c r="R306" s="35">
        <v>17.5</v>
      </c>
      <c r="S306" s="16" t="s">
        <v>83</v>
      </c>
      <c r="T306" s="36">
        <v>37500000</v>
      </c>
      <c r="U306" s="20" t="s">
        <v>22</v>
      </c>
      <c r="V306" s="16" t="s">
        <v>50</v>
      </c>
      <c r="W306" s="16">
        <v>150</v>
      </c>
      <c r="X306" s="16" t="s">
        <v>51</v>
      </c>
      <c r="Y306" s="16">
        <v>100</v>
      </c>
      <c r="Z306" s="16">
        <v>0</v>
      </c>
      <c r="AA306" s="16">
        <v>0</v>
      </c>
      <c r="AB306" s="16">
        <v>0</v>
      </c>
      <c r="AC306" s="16"/>
      <c r="AD306" s="22"/>
      <c r="AE306" s="23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</row>
    <row r="307" spans="1:84" s="2" customFormat="1" x14ac:dyDescent="0.2">
      <c r="A307" s="17" t="s">
        <v>3921</v>
      </c>
      <c r="B307" s="17" t="s">
        <v>45</v>
      </c>
      <c r="C307" s="17">
        <v>2025</v>
      </c>
      <c r="D307" s="17" t="str">
        <f t="array" ref="D307">_xlfn.SWITCH(E307,"Bagor","35.18.14","Sukomoro",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7" s="16" t="s">
        <v>162</v>
      </c>
      <c r="F307" s="17" t="s">
        <v>830</v>
      </c>
      <c r="G307" s="17" t="s">
        <v>831</v>
      </c>
      <c r="H307" s="16" t="s">
        <v>31</v>
      </c>
      <c r="I307" s="16">
        <v>3</v>
      </c>
      <c r="J307" s="16">
        <v>2</v>
      </c>
      <c r="K307" s="16">
        <f t="shared" si="6"/>
        <v>5</v>
      </c>
      <c r="L307" s="38">
        <v>16000000</v>
      </c>
      <c r="M307" s="17" t="s">
        <v>172</v>
      </c>
      <c r="N307" s="36">
        <v>50</v>
      </c>
      <c r="O307" s="16" t="s">
        <v>83</v>
      </c>
      <c r="P307" s="18">
        <v>87500000</v>
      </c>
      <c r="Q307" s="17" t="s">
        <v>173</v>
      </c>
      <c r="R307" s="35">
        <v>20</v>
      </c>
      <c r="S307" s="16" t="s">
        <v>83</v>
      </c>
      <c r="T307" s="36">
        <v>42500000</v>
      </c>
      <c r="U307" s="20" t="s">
        <v>22</v>
      </c>
      <c r="V307" s="16" t="s">
        <v>50</v>
      </c>
      <c r="W307" s="16">
        <v>170</v>
      </c>
      <c r="X307" s="16" t="s">
        <v>51</v>
      </c>
      <c r="Y307" s="16">
        <v>100</v>
      </c>
      <c r="Z307" s="16">
        <v>0</v>
      </c>
      <c r="AA307" s="16">
        <v>0</v>
      </c>
      <c r="AB307" s="16">
        <v>0</v>
      </c>
      <c r="AC307" s="16"/>
      <c r="AD307" s="22"/>
      <c r="AE307" s="23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</row>
    <row r="308" spans="1:84" s="2" customFormat="1" x14ac:dyDescent="0.2">
      <c r="A308" s="17" t="s">
        <v>3921</v>
      </c>
      <c r="B308" s="17" t="s">
        <v>45</v>
      </c>
      <c r="C308" s="17">
        <v>2025</v>
      </c>
      <c r="D308" s="17" t="str">
        <f t="array" ref="D308">_xlfn.SWITCH(E308,"Bagor","35.18.14","Sukomoro",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8" s="16" t="s">
        <v>162</v>
      </c>
      <c r="F308" s="17" t="s">
        <v>817</v>
      </c>
      <c r="G308" s="17" t="s">
        <v>832</v>
      </c>
      <c r="H308" s="16" t="s">
        <v>31</v>
      </c>
      <c r="I308" s="16">
        <v>3</v>
      </c>
      <c r="J308" s="16">
        <v>1</v>
      </c>
      <c r="K308" s="16">
        <f t="shared" si="6"/>
        <v>4</v>
      </c>
      <c r="L308" s="38">
        <v>13000000</v>
      </c>
      <c r="M308" s="17" t="s">
        <v>172</v>
      </c>
      <c r="N308" s="36">
        <v>35</v>
      </c>
      <c r="O308" s="16" t="s">
        <v>83</v>
      </c>
      <c r="P308" s="18">
        <v>70250000</v>
      </c>
      <c r="Q308" s="17" t="s">
        <v>173</v>
      </c>
      <c r="R308" s="35">
        <v>14</v>
      </c>
      <c r="S308" s="16" t="s">
        <v>83</v>
      </c>
      <c r="T308" s="36">
        <v>30000000</v>
      </c>
      <c r="U308" s="20" t="s">
        <v>22</v>
      </c>
      <c r="V308" s="16" t="s">
        <v>50</v>
      </c>
      <c r="W308" s="16">
        <v>120</v>
      </c>
      <c r="X308" s="16" t="s">
        <v>51</v>
      </c>
      <c r="Y308" s="16">
        <v>100</v>
      </c>
      <c r="Z308" s="16">
        <v>0</v>
      </c>
      <c r="AA308" s="16">
        <v>0</v>
      </c>
      <c r="AB308" s="16">
        <v>0</v>
      </c>
      <c r="AC308" s="16"/>
      <c r="AD308" s="22"/>
      <c r="AE308" s="23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</row>
    <row r="309" spans="1:84" s="2" customFormat="1" x14ac:dyDescent="0.2">
      <c r="A309" s="17" t="s">
        <v>3921</v>
      </c>
      <c r="B309" s="17" t="s">
        <v>45</v>
      </c>
      <c r="C309" s="17">
        <v>2025</v>
      </c>
      <c r="D309" s="17" t="str">
        <f t="array" ref="D309">_xlfn.SWITCH(E309,"Bagor","35.18.14","Sukomoro",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9" s="16" t="s">
        <v>162</v>
      </c>
      <c r="F309" s="17" t="s">
        <v>374</v>
      </c>
      <c r="G309" s="17" t="s">
        <v>833</v>
      </c>
      <c r="H309" s="16" t="s">
        <v>31</v>
      </c>
      <c r="I309" s="16">
        <v>8</v>
      </c>
      <c r="J309" s="16">
        <v>6</v>
      </c>
      <c r="K309" s="16">
        <f t="shared" si="6"/>
        <v>14</v>
      </c>
      <c r="L309" s="38">
        <v>125000000</v>
      </c>
      <c r="M309" s="17" t="s">
        <v>834</v>
      </c>
      <c r="N309" s="36">
        <v>10000</v>
      </c>
      <c r="O309" s="16" t="s">
        <v>835</v>
      </c>
      <c r="P309" s="18">
        <v>30000000</v>
      </c>
      <c r="Q309" s="17" t="s">
        <v>96</v>
      </c>
      <c r="R309" s="35">
        <v>11</v>
      </c>
      <c r="S309" s="16" t="s">
        <v>83</v>
      </c>
      <c r="T309" s="36">
        <v>17600000</v>
      </c>
      <c r="U309" s="20" t="s">
        <v>22</v>
      </c>
      <c r="V309" s="16">
        <v>0</v>
      </c>
      <c r="W309" s="16">
        <v>0</v>
      </c>
      <c r="X309" s="16">
        <v>0</v>
      </c>
      <c r="Y309" s="16">
        <v>65</v>
      </c>
      <c r="Z309" s="16">
        <v>35</v>
      </c>
      <c r="AA309" s="16">
        <v>0</v>
      </c>
      <c r="AB309" s="16">
        <v>0</v>
      </c>
      <c r="AC309" s="16"/>
      <c r="AD309" s="22"/>
      <c r="AE309" s="23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</row>
    <row r="310" spans="1:84" s="2" customFormat="1" x14ac:dyDescent="0.2">
      <c r="A310" s="17" t="s">
        <v>3921</v>
      </c>
      <c r="B310" s="17" t="s">
        <v>45</v>
      </c>
      <c r="C310" s="17">
        <v>2025</v>
      </c>
      <c r="D310" s="17" t="str">
        <f t="array" ref="D310">_xlfn.SWITCH(E310,"Bagor","35.18.14","Sukomoro",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10" s="16" t="s">
        <v>162</v>
      </c>
      <c r="F310" s="17" t="s">
        <v>824</v>
      </c>
      <c r="G310" s="17" t="s">
        <v>836</v>
      </c>
      <c r="H310" s="16" t="s">
        <v>31</v>
      </c>
      <c r="I310" s="16">
        <v>28</v>
      </c>
      <c r="J310" s="16">
        <v>5</v>
      </c>
      <c r="K310" s="16">
        <f t="shared" si="6"/>
        <v>33</v>
      </c>
      <c r="L310" s="38">
        <v>10000000</v>
      </c>
      <c r="M310" s="17" t="s">
        <v>180</v>
      </c>
      <c r="N310" s="36">
        <v>31</v>
      </c>
      <c r="O310" s="16" t="s">
        <v>83</v>
      </c>
      <c r="P310" s="18">
        <v>38750000</v>
      </c>
      <c r="Q310" s="17" t="s">
        <v>159</v>
      </c>
      <c r="R310" s="35">
        <v>32</v>
      </c>
      <c r="S310" s="16" t="s">
        <v>83</v>
      </c>
      <c r="T310" s="36">
        <v>23040000</v>
      </c>
      <c r="U310" s="20" t="s">
        <v>22</v>
      </c>
      <c r="V310" s="16" t="s">
        <v>50</v>
      </c>
      <c r="W310" s="16">
        <v>320</v>
      </c>
      <c r="X310" s="16" t="s">
        <v>51</v>
      </c>
      <c r="Y310" s="16">
        <v>60</v>
      </c>
      <c r="Z310" s="16">
        <v>40</v>
      </c>
      <c r="AA310" s="16">
        <v>0</v>
      </c>
      <c r="AB310" s="16">
        <v>0</v>
      </c>
      <c r="AC310" s="16"/>
      <c r="AD310" s="22"/>
      <c r="AE310" s="23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</row>
    <row r="311" spans="1:84" s="2" customFormat="1" x14ac:dyDescent="0.2">
      <c r="A311" s="17" t="s">
        <v>3921</v>
      </c>
      <c r="B311" s="17" t="s">
        <v>45</v>
      </c>
      <c r="C311" s="17">
        <v>2025</v>
      </c>
      <c r="D311" s="17" t="str">
        <f t="array" ref="D311">_xlfn.SWITCH(E311,"Bagor","35.18.14","Sukomoro",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11" s="16" t="s">
        <v>162</v>
      </c>
      <c r="F311" s="17" t="s">
        <v>817</v>
      </c>
      <c r="G311" s="17" t="s">
        <v>837</v>
      </c>
      <c r="H311" s="16" t="s">
        <v>31</v>
      </c>
      <c r="I311" s="16">
        <v>6</v>
      </c>
      <c r="J311" s="16">
        <v>2</v>
      </c>
      <c r="K311" s="16">
        <f t="shared" si="6"/>
        <v>8</v>
      </c>
      <c r="L311" s="38">
        <v>23250000</v>
      </c>
      <c r="M311" s="17" t="s">
        <v>437</v>
      </c>
      <c r="N311" s="36">
        <v>33500</v>
      </c>
      <c r="O311" s="16" t="s">
        <v>152</v>
      </c>
      <c r="P311" s="18">
        <v>6750000</v>
      </c>
      <c r="Q311" s="17" t="s">
        <v>153</v>
      </c>
      <c r="R311" s="35" t="s">
        <v>838</v>
      </c>
      <c r="S311" s="16" t="s">
        <v>694</v>
      </c>
      <c r="T311" s="36">
        <v>4000000</v>
      </c>
      <c r="U311" s="20" t="s">
        <v>22</v>
      </c>
      <c r="V311" s="16" t="s">
        <v>438</v>
      </c>
      <c r="W311" s="16">
        <v>900</v>
      </c>
      <c r="X311" s="16" t="s">
        <v>53</v>
      </c>
      <c r="Y311" s="16">
        <v>70</v>
      </c>
      <c r="Z311" s="16">
        <v>30</v>
      </c>
      <c r="AA311" s="16">
        <v>0</v>
      </c>
      <c r="AB311" s="16">
        <v>0</v>
      </c>
      <c r="AC311" s="16"/>
      <c r="AD311" s="22"/>
      <c r="AE311" s="23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</row>
    <row r="312" spans="1:84" s="2" customFormat="1" x14ac:dyDescent="0.2">
      <c r="A312" s="17" t="s">
        <v>3921</v>
      </c>
      <c r="B312" s="17" t="s">
        <v>45</v>
      </c>
      <c r="C312" s="17">
        <v>2025</v>
      </c>
      <c r="D312" s="17" t="str">
        <f t="array" ref="D312">_xlfn.SWITCH(E312,"Bagor","35.18.14","Sukomoro",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12" s="16" t="s">
        <v>162</v>
      </c>
      <c r="F312" s="17" t="s">
        <v>339</v>
      </c>
      <c r="G312" s="17" t="s">
        <v>839</v>
      </c>
      <c r="H312" s="16" t="s">
        <v>31</v>
      </c>
      <c r="I312" s="16">
        <v>5</v>
      </c>
      <c r="J312" s="16">
        <v>2</v>
      </c>
      <c r="K312" s="16">
        <f t="shared" si="6"/>
        <v>7</v>
      </c>
      <c r="L312" s="38">
        <v>22250000</v>
      </c>
      <c r="M312" s="17" t="s">
        <v>437</v>
      </c>
      <c r="N312" s="36">
        <v>22500</v>
      </c>
      <c r="O312" s="16" t="s">
        <v>377</v>
      </c>
      <c r="P312" s="18">
        <v>4500000</v>
      </c>
      <c r="Q312" s="17" t="s">
        <v>153</v>
      </c>
      <c r="R312" s="35" t="s">
        <v>840</v>
      </c>
      <c r="S312" s="16" t="s">
        <v>694</v>
      </c>
      <c r="T312" s="36">
        <v>2625000</v>
      </c>
      <c r="U312" s="20" t="s">
        <v>22</v>
      </c>
      <c r="V312" s="16" t="s">
        <v>438</v>
      </c>
      <c r="W312" s="16">
        <v>600</v>
      </c>
      <c r="X312" s="16" t="s">
        <v>53</v>
      </c>
      <c r="Y312" s="16">
        <v>75</v>
      </c>
      <c r="Z312" s="16">
        <v>25</v>
      </c>
      <c r="AA312" s="16">
        <v>0</v>
      </c>
      <c r="AB312" s="16">
        <v>0</v>
      </c>
      <c r="AC312" s="16"/>
      <c r="AD312" s="22"/>
      <c r="AE312" s="23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</row>
    <row r="313" spans="1:84" s="2" customFormat="1" x14ac:dyDescent="0.2">
      <c r="A313" s="17" t="s">
        <v>3921</v>
      </c>
      <c r="B313" s="17" t="s">
        <v>45</v>
      </c>
      <c r="C313" s="17">
        <v>2025</v>
      </c>
      <c r="D313" s="17" t="str">
        <f t="array" ref="D313">_xlfn.SWITCH(E313,"Bagor","35.18.14","Sukomoro",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3" s="16" t="s">
        <v>114</v>
      </c>
      <c r="F313" s="17" t="s">
        <v>774</v>
      </c>
      <c r="G313" s="17" t="s">
        <v>841</v>
      </c>
      <c r="H313" s="16" t="s">
        <v>31</v>
      </c>
      <c r="I313" s="16">
        <v>2</v>
      </c>
      <c r="J313" s="16">
        <v>10</v>
      </c>
      <c r="K313" s="16">
        <f t="shared" si="6"/>
        <v>12</v>
      </c>
      <c r="L313" s="36">
        <v>128500000</v>
      </c>
      <c r="M313" s="17" t="s">
        <v>108</v>
      </c>
      <c r="N313" s="35">
        <v>33</v>
      </c>
      <c r="O313" s="16" t="s">
        <v>211</v>
      </c>
      <c r="P313" s="18">
        <v>14025000</v>
      </c>
      <c r="Q313" s="17" t="s">
        <v>57</v>
      </c>
      <c r="R313" s="35">
        <v>11</v>
      </c>
      <c r="S313" s="16" t="s">
        <v>51</v>
      </c>
      <c r="T313" s="36">
        <v>6820000</v>
      </c>
      <c r="U313" s="20" t="s">
        <v>22</v>
      </c>
      <c r="V313" s="16" t="s">
        <v>52</v>
      </c>
      <c r="W313" s="16">
        <v>110</v>
      </c>
      <c r="X313" s="16" t="s">
        <v>53</v>
      </c>
      <c r="Y313" s="16">
        <v>70</v>
      </c>
      <c r="Z313" s="16">
        <v>30</v>
      </c>
      <c r="AA313" s="16">
        <v>0</v>
      </c>
      <c r="AB313" s="16">
        <v>0</v>
      </c>
      <c r="AC313" s="16"/>
      <c r="AD313" s="22"/>
      <c r="AE313" s="23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</row>
    <row r="314" spans="1:84" s="2" customFormat="1" x14ac:dyDescent="0.2">
      <c r="A314" s="17" t="s">
        <v>3921</v>
      </c>
      <c r="B314" s="17" t="s">
        <v>45</v>
      </c>
      <c r="C314" s="17">
        <v>2025</v>
      </c>
      <c r="D314" s="17" t="str">
        <f t="array" ref="D314">_xlfn.SWITCH(E314,"Bagor","35.18.14","Sukomoro",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4" s="16" t="s">
        <v>114</v>
      </c>
      <c r="F314" s="17" t="s">
        <v>842</v>
      </c>
      <c r="G314" s="17" t="s">
        <v>843</v>
      </c>
      <c r="H314" s="16" t="s">
        <v>31</v>
      </c>
      <c r="I314" s="16">
        <v>3</v>
      </c>
      <c r="J314" s="16">
        <v>14</v>
      </c>
      <c r="K314" s="16">
        <f t="shared" si="6"/>
        <v>17</v>
      </c>
      <c r="L314" s="36">
        <v>245000000</v>
      </c>
      <c r="M314" s="17" t="s">
        <v>108</v>
      </c>
      <c r="N314" s="35">
        <v>91</v>
      </c>
      <c r="O314" s="16" t="s">
        <v>211</v>
      </c>
      <c r="P314" s="18">
        <v>38675000</v>
      </c>
      <c r="Q314" s="17" t="s">
        <v>57</v>
      </c>
      <c r="R314" s="35">
        <v>30</v>
      </c>
      <c r="S314" s="16" t="s">
        <v>51</v>
      </c>
      <c r="T314" s="36">
        <v>18600000</v>
      </c>
      <c r="U314" s="20" t="s">
        <v>22</v>
      </c>
      <c r="V314" s="16" t="s">
        <v>52</v>
      </c>
      <c r="W314" s="16">
        <v>300</v>
      </c>
      <c r="X314" s="16" t="s">
        <v>53</v>
      </c>
      <c r="Y314" s="16">
        <v>65</v>
      </c>
      <c r="Z314" s="16">
        <v>35</v>
      </c>
      <c r="AA314" s="16">
        <v>0</v>
      </c>
      <c r="AB314" s="16">
        <v>0</v>
      </c>
      <c r="AC314" s="16"/>
      <c r="AD314" s="22"/>
      <c r="AE314" s="23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</row>
    <row r="315" spans="1:84" s="2" customFormat="1" x14ac:dyDescent="0.2">
      <c r="A315" s="17" t="s">
        <v>3921</v>
      </c>
      <c r="B315" s="17" t="s">
        <v>45</v>
      </c>
      <c r="C315" s="17">
        <v>2025</v>
      </c>
      <c r="D315" s="17" t="str">
        <f t="array" ref="D315">_xlfn.SWITCH(E315,"Bagor","35.18.14","Sukomoro",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5" s="16" t="s">
        <v>114</v>
      </c>
      <c r="F315" s="17" t="s">
        <v>226</v>
      </c>
      <c r="G315" s="17" t="s">
        <v>844</v>
      </c>
      <c r="H315" s="16" t="s">
        <v>31</v>
      </c>
      <c r="I315" s="16">
        <v>2</v>
      </c>
      <c r="J315" s="16">
        <v>14</v>
      </c>
      <c r="K315" s="16">
        <f t="shared" si="6"/>
        <v>16</v>
      </c>
      <c r="L315" s="36">
        <v>181000000</v>
      </c>
      <c r="M315" s="17" t="s">
        <v>108</v>
      </c>
      <c r="N315" s="35">
        <v>85</v>
      </c>
      <c r="O315" s="16" t="s">
        <v>211</v>
      </c>
      <c r="P315" s="18">
        <v>36125000</v>
      </c>
      <c r="Q315" s="17" t="s">
        <v>57</v>
      </c>
      <c r="R315" s="35">
        <v>28</v>
      </c>
      <c r="S315" s="16" t="s">
        <v>51</v>
      </c>
      <c r="T315" s="36">
        <v>17380000</v>
      </c>
      <c r="U315" s="20" t="s">
        <v>22</v>
      </c>
      <c r="V315" s="16" t="s">
        <v>52</v>
      </c>
      <c r="W315" s="16">
        <v>280</v>
      </c>
      <c r="X315" s="16" t="s">
        <v>53</v>
      </c>
      <c r="Y315" s="16">
        <v>75</v>
      </c>
      <c r="Z315" s="16">
        <v>25</v>
      </c>
      <c r="AA315" s="16">
        <v>0</v>
      </c>
      <c r="AB315" s="16">
        <v>0</v>
      </c>
      <c r="AC315" s="16"/>
      <c r="AD315" s="22"/>
      <c r="AE315" s="23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</row>
    <row r="316" spans="1:84" s="2" customFormat="1" x14ac:dyDescent="0.2">
      <c r="A316" s="17" t="s">
        <v>3921</v>
      </c>
      <c r="B316" s="17" t="s">
        <v>45</v>
      </c>
      <c r="C316" s="17">
        <v>2025</v>
      </c>
      <c r="D316" s="17" t="str">
        <f t="array" ref="D316">_xlfn.SWITCH(E316,"Bagor","35.18.14","Sukomoro",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6" s="16" t="s">
        <v>114</v>
      </c>
      <c r="F316" s="17" t="s">
        <v>226</v>
      </c>
      <c r="G316" s="17" t="s">
        <v>845</v>
      </c>
      <c r="H316" s="16" t="s">
        <v>31</v>
      </c>
      <c r="I316" s="16">
        <v>0</v>
      </c>
      <c r="J316" s="16">
        <v>4</v>
      </c>
      <c r="K316" s="16">
        <f t="shared" si="6"/>
        <v>4</v>
      </c>
      <c r="L316" s="36">
        <v>175000000</v>
      </c>
      <c r="M316" s="17" t="s">
        <v>108</v>
      </c>
      <c r="N316" s="35">
        <v>81</v>
      </c>
      <c r="O316" s="16" t="s">
        <v>211</v>
      </c>
      <c r="P316" s="18">
        <v>45650000</v>
      </c>
      <c r="Q316" s="17" t="s">
        <v>57</v>
      </c>
      <c r="R316" s="35" t="s">
        <v>722</v>
      </c>
      <c r="S316" s="16" t="s">
        <v>83</v>
      </c>
      <c r="T316" s="36">
        <v>25000000</v>
      </c>
      <c r="U316" s="20" t="s">
        <v>22</v>
      </c>
      <c r="V316" s="16" t="s">
        <v>52</v>
      </c>
      <c r="W316" s="16">
        <v>110</v>
      </c>
      <c r="X316" s="16" t="s">
        <v>53</v>
      </c>
      <c r="Y316" s="16">
        <v>70</v>
      </c>
      <c r="Z316" s="16">
        <v>30</v>
      </c>
      <c r="AA316" s="16">
        <v>0</v>
      </c>
      <c r="AB316" s="16">
        <v>0</v>
      </c>
      <c r="AC316" s="16"/>
      <c r="AD316" s="22"/>
      <c r="AE316" s="23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</row>
    <row r="317" spans="1:84" s="2" customFormat="1" x14ac:dyDescent="0.2">
      <c r="A317" s="17" t="s">
        <v>3921</v>
      </c>
      <c r="B317" s="17" t="s">
        <v>45</v>
      </c>
      <c r="C317" s="17">
        <v>2025</v>
      </c>
      <c r="D317" s="17" t="str">
        <f t="array" ref="D317">_xlfn.SWITCH(E317,"Bagor","35.18.14","Sukomoro",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7" s="16" t="s">
        <v>114</v>
      </c>
      <c r="F317" s="17" t="s">
        <v>154</v>
      </c>
      <c r="G317" s="17" t="s">
        <v>846</v>
      </c>
      <c r="H317" s="16" t="s">
        <v>31</v>
      </c>
      <c r="I317" s="16">
        <v>3</v>
      </c>
      <c r="J317" s="16">
        <v>19</v>
      </c>
      <c r="K317" s="16">
        <f t="shared" si="6"/>
        <v>22</v>
      </c>
      <c r="L317" s="36">
        <v>298000000</v>
      </c>
      <c r="M317" s="17" t="s">
        <v>108</v>
      </c>
      <c r="N317" s="35">
        <v>120</v>
      </c>
      <c r="O317" s="16" t="s">
        <v>211</v>
      </c>
      <c r="P317" s="18">
        <v>46200000</v>
      </c>
      <c r="Q317" s="17" t="s">
        <v>57</v>
      </c>
      <c r="R317" s="35">
        <v>40</v>
      </c>
      <c r="S317" s="16" t="s">
        <v>51</v>
      </c>
      <c r="T317" s="36">
        <v>24800000</v>
      </c>
      <c r="U317" s="20" t="s">
        <v>22</v>
      </c>
      <c r="V317" s="16" t="s">
        <v>52</v>
      </c>
      <c r="W317" s="16">
        <v>400</v>
      </c>
      <c r="X317" s="16" t="s">
        <v>53</v>
      </c>
      <c r="Y317" s="16">
        <v>60</v>
      </c>
      <c r="Z317" s="16">
        <v>40</v>
      </c>
      <c r="AA317" s="16">
        <v>0</v>
      </c>
      <c r="AB317" s="16">
        <v>0</v>
      </c>
      <c r="AC317" s="16"/>
      <c r="AD317" s="22"/>
      <c r="AE317" s="23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</row>
    <row r="318" spans="1:84" s="2" customFormat="1" x14ac:dyDescent="0.2">
      <c r="A318" s="17" t="s">
        <v>3921</v>
      </c>
      <c r="B318" s="17" t="s">
        <v>45</v>
      </c>
      <c r="C318" s="17">
        <v>2025</v>
      </c>
      <c r="D318" s="17" t="str">
        <f t="array" ref="D318">_xlfn.SWITCH(E318,"Bagor","35.18.14","Sukomoro",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8" s="16" t="s">
        <v>114</v>
      </c>
      <c r="F318" s="17" t="s">
        <v>154</v>
      </c>
      <c r="G318" s="17" t="s">
        <v>847</v>
      </c>
      <c r="H318" s="16" t="s">
        <v>31</v>
      </c>
      <c r="I318" s="16">
        <v>5</v>
      </c>
      <c r="J318" s="16">
        <v>19</v>
      </c>
      <c r="K318" s="16">
        <f t="shared" si="6"/>
        <v>24</v>
      </c>
      <c r="L318" s="36">
        <v>420000000</v>
      </c>
      <c r="M318" s="17" t="s">
        <v>108</v>
      </c>
      <c r="N318" s="35" t="s">
        <v>848</v>
      </c>
      <c r="O318" s="16" t="s">
        <v>849</v>
      </c>
      <c r="P318" s="18">
        <v>526000000</v>
      </c>
      <c r="Q318" s="17" t="s">
        <v>57</v>
      </c>
      <c r="R318" s="35">
        <v>400</v>
      </c>
      <c r="S318" s="16" t="s">
        <v>51</v>
      </c>
      <c r="T318" s="36">
        <v>264000000</v>
      </c>
      <c r="U318" s="20" t="s">
        <v>22</v>
      </c>
      <c r="V318" s="16" t="s">
        <v>52</v>
      </c>
      <c r="W318" s="16">
        <v>1200</v>
      </c>
      <c r="X318" s="16" t="s">
        <v>53</v>
      </c>
      <c r="Y318" s="16">
        <v>50</v>
      </c>
      <c r="Z318" s="16">
        <v>30</v>
      </c>
      <c r="AA318" s="16">
        <v>20</v>
      </c>
      <c r="AB318" s="16">
        <v>0</v>
      </c>
      <c r="AC318" s="16"/>
      <c r="AD318" s="22"/>
      <c r="AE318" s="23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</row>
    <row r="319" spans="1:84" s="2" customFormat="1" x14ac:dyDescent="0.2">
      <c r="A319" s="17" t="s">
        <v>3921</v>
      </c>
      <c r="B319" s="17" t="s">
        <v>45</v>
      </c>
      <c r="C319" s="17">
        <v>2025</v>
      </c>
      <c r="D319" s="17" t="str">
        <f t="array" ref="D319">_xlfn.SWITCH(E319,"Bagor","35.18.14","Sukomoro",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9" s="16" t="s">
        <v>114</v>
      </c>
      <c r="F319" s="17" t="s">
        <v>850</v>
      </c>
      <c r="G319" s="17" t="s">
        <v>851</v>
      </c>
      <c r="H319" s="16" t="s">
        <v>31</v>
      </c>
      <c r="I319" s="16">
        <v>16</v>
      </c>
      <c r="J319" s="16">
        <v>9</v>
      </c>
      <c r="K319" s="16">
        <f t="shared" si="6"/>
        <v>25</v>
      </c>
      <c r="L319" s="36">
        <v>32000000</v>
      </c>
      <c r="M319" s="17" t="s">
        <v>565</v>
      </c>
      <c r="N319" s="35">
        <v>30</v>
      </c>
      <c r="O319" s="16" t="s">
        <v>83</v>
      </c>
      <c r="P319" s="18">
        <v>92000000</v>
      </c>
      <c r="Q319" s="17" t="s">
        <v>34</v>
      </c>
      <c r="R319" s="35">
        <v>173</v>
      </c>
      <c r="S319" s="16" t="s">
        <v>83</v>
      </c>
      <c r="T319" s="36">
        <v>48550000</v>
      </c>
      <c r="U319" s="20" t="s">
        <v>22</v>
      </c>
      <c r="V319" s="16">
        <v>0</v>
      </c>
      <c r="W319" s="16">
        <v>0</v>
      </c>
      <c r="X319" s="16">
        <v>0</v>
      </c>
      <c r="Y319" s="16">
        <v>40</v>
      </c>
      <c r="Z319" s="16">
        <v>30</v>
      </c>
      <c r="AA319" s="16">
        <v>30</v>
      </c>
      <c r="AB319" s="16">
        <v>0</v>
      </c>
      <c r="AC319" s="16"/>
      <c r="AD319" s="22"/>
      <c r="AE319" s="23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</row>
    <row r="320" spans="1:84" s="2" customFormat="1" x14ac:dyDescent="0.2">
      <c r="A320" s="17" t="s">
        <v>3921</v>
      </c>
      <c r="B320" s="17" t="s">
        <v>45</v>
      </c>
      <c r="C320" s="17">
        <v>2025</v>
      </c>
      <c r="D320" s="17" t="str">
        <f t="array" ref="D320">_xlfn.SWITCH(E320,"Bagor","35.18.14","Sukomoro",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0" s="16" t="s">
        <v>114</v>
      </c>
      <c r="F320" s="17" t="s">
        <v>850</v>
      </c>
      <c r="G320" s="17" t="s">
        <v>602</v>
      </c>
      <c r="H320" s="16" t="s">
        <v>31</v>
      </c>
      <c r="I320" s="16">
        <v>2</v>
      </c>
      <c r="J320" s="16">
        <v>2</v>
      </c>
      <c r="K320" s="16">
        <f t="shared" si="6"/>
        <v>4</v>
      </c>
      <c r="L320" s="36">
        <v>15500000</v>
      </c>
      <c r="M320" s="17" t="s">
        <v>172</v>
      </c>
      <c r="N320" s="35">
        <v>30</v>
      </c>
      <c r="O320" s="16" t="s">
        <v>83</v>
      </c>
      <c r="P320" s="18">
        <v>64500000</v>
      </c>
      <c r="Q320" s="17" t="s">
        <v>173</v>
      </c>
      <c r="R320" s="35">
        <v>12</v>
      </c>
      <c r="S320" s="16" t="s">
        <v>83</v>
      </c>
      <c r="T320" s="36">
        <v>25000000</v>
      </c>
      <c r="U320" s="20" t="s">
        <v>22</v>
      </c>
      <c r="V320" s="16" t="s">
        <v>50</v>
      </c>
      <c r="W320" s="16">
        <v>100</v>
      </c>
      <c r="X320" s="16" t="s">
        <v>51</v>
      </c>
      <c r="Y320" s="16">
        <v>100</v>
      </c>
      <c r="Z320" s="16">
        <v>0</v>
      </c>
      <c r="AA320" s="16">
        <v>0</v>
      </c>
      <c r="AB320" s="16">
        <v>0</v>
      </c>
      <c r="AC320" s="16"/>
      <c r="AD320" s="22"/>
      <c r="AE320" s="23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</row>
    <row r="321" spans="1:84" s="2" customFormat="1" x14ac:dyDescent="0.2">
      <c r="A321" s="17" t="s">
        <v>3921</v>
      </c>
      <c r="B321" s="17" t="s">
        <v>45</v>
      </c>
      <c r="C321" s="17">
        <v>2025</v>
      </c>
      <c r="D321" s="17" t="str">
        <f t="array" ref="D321">_xlfn.SWITCH(E321,"Bagor","35.18.14","Sukomoro",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1" s="16" t="s">
        <v>114</v>
      </c>
      <c r="F321" s="17" t="s">
        <v>852</v>
      </c>
      <c r="G321" s="17" t="s">
        <v>853</v>
      </c>
      <c r="H321" s="16" t="s">
        <v>31</v>
      </c>
      <c r="I321" s="16">
        <v>3</v>
      </c>
      <c r="J321" s="16">
        <v>2</v>
      </c>
      <c r="K321" s="16">
        <f t="shared" si="6"/>
        <v>5</v>
      </c>
      <c r="L321" s="36">
        <v>15000000</v>
      </c>
      <c r="M321" s="17" t="s">
        <v>172</v>
      </c>
      <c r="N321" s="35">
        <v>30</v>
      </c>
      <c r="O321" s="16" t="s">
        <v>83</v>
      </c>
      <c r="P321" s="18">
        <v>65500000</v>
      </c>
      <c r="Q321" s="17" t="s">
        <v>173</v>
      </c>
      <c r="R321" s="35">
        <v>12</v>
      </c>
      <c r="S321" s="16" t="s">
        <v>83</v>
      </c>
      <c r="T321" s="36">
        <v>25000000</v>
      </c>
      <c r="U321" s="20" t="s">
        <v>22</v>
      </c>
      <c r="V321" s="16" t="s">
        <v>50</v>
      </c>
      <c r="W321" s="16">
        <v>100</v>
      </c>
      <c r="X321" s="16" t="s">
        <v>51</v>
      </c>
      <c r="Y321" s="16">
        <v>100</v>
      </c>
      <c r="Z321" s="16">
        <v>0</v>
      </c>
      <c r="AA321" s="16">
        <v>0</v>
      </c>
      <c r="AB321" s="16">
        <v>0</v>
      </c>
      <c r="AC321" s="16"/>
      <c r="AD321" s="22"/>
      <c r="AE321" s="23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</row>
    <row r="322" spans="1:84" s="2" customFormat="1" x14ac:dyDescent="0.2">
      <c r="A322" s="17" t="s">
        <v>3921</v>
      </c>
      <c r="B322" s="17" t="s">
        <v>45</v>
      </c>
      <c r="C322" s="17">
        <v>2025</v>
      </c>
      <c r="D322" s="17" t="str">
        <f t="array" ref="D322">_xlfn.SWITCH(E322,"Bagor","35.18.14","Sukomoro",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2" s="16" t="s">
        <v>114</v>
      </c>
      <c r="F322" s="17" t="s">
        <v>290</v>
      </c>
      <c r="G322" s="17" t="s">
        <v>854</v>
      </c>
      <c r="H322" s="16" t="s">
        <v>31</v>
      </c>
      <c r="I322" s="16">
        <v>2</v>
      </c>
      <c r="J322" s="16">
        <v>2</v>
      </c>
      <c r="K322" s="16">
        <f t="shared" si="6"/>
        <v>4</v>
      </c>
      <c r="L322" s="36">
        <v>16500000</v>
      </c>
      <c r="M322" s="17" t="s">
        <v>172</v>
      </c>
      <c r="N322" s="35">
        <v>30</v>
      </c>
      <c r="O322" s="16" t="s">
        <v>83</v>
      </c>
      <c r="P322" s="18">
        <v>65000000</v>
      </c>
      <c r="Q322" s="17" t="s">
        <v>173</v>
      </c>
      <c r="R322" s="35">
        <v>12</v>
      </c>
      <c r="S322" s="16" t="s">
        <v>83</v>
      </c>
      <c r="T322" s="36">
        <v>25000000</v>
      </c>
      <c r="U322" s="20" t="s">
        <v>22</v>
      </c>
      <c r="V322" s="16" t="s">
        <v>50</v>
      </c>
      <c r="W322" s="16">
        <v>100</v>
      </c>
      <c r="X322" s="16" t="s">
        <v>51</v>
      </c>
      <c r="Y322" s="16">
        <v>100</v>
      </c>
      <c r="Z322" s="16">
        <v>0</v>
      </c>
      <c r="AA322" s="16">
        <v>0</v>
      </c>
      <c r="AB322" s="16">
        <v>0</v>
      </c>
      <c r="AC322" s="16"/>
      <c r="AD322" s="22"/>
      <c r="AE322" s="23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</row>
    <row r="323" spans="1:84" s="2" customFormat="1" x14ac:dyDescent="0.2">
      <c r="A323" s="17" t="s">
        <v>3921</v>
      </c>
      <c r="B323" s="17" t="s">
        <v>45</v>
      </c>
      <c r="C323" s="17">
        <v>2025</v>
      </c>
      <c r="D323" s="17" t="str">
        <f t="array" ref="D323">_xlfn.SWITCH(E323,"Bagor","35.18.14","Sukomoro",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3" s="16" t="s">
        <v>114</v>
      </c>
      <c r="F323" s="17" t="s">
        <v>114</v>
      </c>
      <c r="G323" s="17" t="s">
        <v>855</v>
      </c>
      <c r="H323" s="16" t="s">
        <v>31</v>
      </c>
      <c r="I323" s="16">
        <v>2</v>
      </c>
      <c r="J323" s="16">
        <v>2</v>
      </c>
      <c r="K323" s="16">
        <f t="shared" si="6"/>
        <v>4</v>
      </c>
      <c r="L323" s="36">
        <v>15500000</v>
      </c>
      <c r="M323" s="17" t="s">
        <v>172</v>
      </c>
      <c r="N323" s="35">
        <v>30</v>
      </c>
      <c r="O323" s="16" t="s">
        <v>83</v>
      </c>
      <c r="P323" s="18">
        <v>64000000</v>
      </c>
      <c r="Q323" s="17" t="s">
        <v>173</v>
      </c>
      <c r="R323" s="35">
        <v>12</v>
      </c>
      <c r="S323" s="16" t="s">
        <v>83</v>
      </c>
      <c r="T323" s="36">
        <v>25000000</v>
      </c>
      <c r="U323" s="20" t="s">
        <v>22</v>
      </c>
      <c r="V323" s="16" t="s">
        <v>50</v>
      </c>
      <c r="W323" s="16">
        <v>100</v>
      </c>
      <c r="X323" s="16" t="s">
        <v>51</v>
      </c>
      <c r="Y323" s="16">
        <v>100</v>
      </c>
      <c r="Z323" s="16">
        <v>0</v>
      </c>
      <c r="AA323" s="16">
        <v>0</v>
      </c>
      <c r="AB323" s="16">
        <v>0</v>
      </c>
      <c r="AC323" s="16"/>
      <c r="AD323" s="22"/>
      <c r="AE323" s="23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</row>
    <row r="324" spans="1:84" s="2" customFormat="1" x14ac:dyDescent="0.2">
      <c r="A324" s="17" t="s">
        <v>3921</v>
      </c>
      <c r="B324" s="17" t="s">
        <v>45</v>
      </c>
      <c r="C324" s="17">
        <v>2025</v>
      </c>
      <c r="D324" s="17" t="str">
        <f t="array" ref="D324">_xlfn.SWITCH(E324,"Bagor","35.18.14","Sukomoro",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4" s="16" t="s">
        <v>114</v>
      </c>
      <c r="F324" s="17" t="s">
        <v>842</v>
      </c>
      <c r="G324" s="17" t="s">
        <v>856</v>
      </c>
      <c r="H324" s="16" t="s">
        <v>31</v>
      </c>
      <c r="I324" s="16">
        <v>2</v>
      </c>
      <c r="J324" s="16">
        <v>2</v>
      </c>
      <c r="K324" s="16">
        <f t="shared" si="6"/>
        <v>4</v>
      </c>
      <c r="L324" s="36">
        <v>15000000</v>
      </c>
      <c r="M324" s="17" t="s">
        <v>172</v>
      </c>
      <c r="N324" s="35">
        <v>30</v>
      </c>
      <c r="O324" s="16" t="s">
        <v>83</v>
      </c>
      <c r="P324" s="18">
        <v>64500000</v>
      </c>
      <c r="Q324" s="17" t="s">
        <v>173</v>
      </c>
      <c r="R324" s="35">
        <v>12</v>
      </c>
      <c r="S324" s="16" t="s">
        <v>83</v>
      </c>
      <c r="T324" s="36">
        <v>25000000</v>
      </c>
      <c r="U324" s="20" t="s">
        <v>22</v>
      </c>
      <c r="V324" s="16" t="s">
        <v>50</v>
      </c>
      <c r="W324" s="16">
        <v>100</v>
      </c>
      <c r="X324" s="16" t="s">
        <v>51</v>
      </c>
      <c r="Y324" s="16">
        <v>100</v>
      </c>
      <c r="Z324" s="16">
        <v>0</v>
      </c>
      <c r="AA324" s="16">
        <v>0</v>
      </c>
      <c r="AB324" s="16">
        <v>0</v>
      </c>
      <c r="AC324" s="16"/>
      <c r="AD324" s="22"/>
      <c r="AE324" s="23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</row>
    <row r="325" spans="1:84" s="2" customFormat="1" x14ac:dyDescent="0.2">
      <c r="A325" s="17" t="s">
        <v>3921</v>
      </c>
      <c r="B325" s="17" t="s">
        <v>45</v>
      </c>
      <c r="C325" s="17">
        <v>2025</v>
      </c>
      <c r="D325" s="17" t="str">
        <f t="array" ref="D325">_xlfn.SWITCH(E325,"Bagor","35.18.14","Sukomoro",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5" s="16" t="s">
        <v>114</v>
      </c>
      <c r="F325" s="17" t="s">
        <v>364</v>
      </c>
      <c r="G325" s="17" t="s">
        <v>857</v>
      </c>
      <c r="H325" s="16" t="s">
        <v>31</v>
      </c>
      <c r="I325" s="16">
        <v>3</v>
      </c>
      <c r="J325" s="16">
        <v>2</v>
      </c>
      <c r="K325" s="16">
        <f t="shared" si="6"/>
        <v>5</v>
      </c>
      <c r="L325" s="36">
        <v>16500000</v>
      </c>
      <c r="M325" s="17" t="s">
        <v>172</v>
      </c>
      <c r="N325" s="35">
        <v>30</v>
      </c>
      <c r="O325" s="16" t="s">
        <v>83</v>
      </c>
      <c r="P325" s="18">
        <v>63500000</v>
      </c>
      <c r="Q325" s="17" t="s">
        <v>173</v>
      </c>
      <c r="R325" s="35">
        <v>12</v>
      </c>
      <c r="S325" s="16" t="s">
        <v>83</v>
      </c>
      <c r="T325" s="36">
        <v>25000000</v>
      </c>
      <c r="U325" s="20" t="s">
        <v>22</v>
      </c>
      <c r="V325" s="16" t="s">
        <v>50</v>
      </c>
      <c r="W325" s="16">
        <v>100</v>
      </c>
      <c r="X325" s="16" t="s">
        <v>51</v>
      </c>
      <c r="Y325" s="16">
        <v>100</v>
      </c>
      <c r="Z325" s="16">
        <v>0</v>
      </c>
      <c r="AA325" s="16">
        <v>0</v>
      </c>
      <c r="AB325" s="16">
        <v>0</v>
      </c>
      <c r="AC325" s="16"/>
      <c r="AD325" s="22"/>
      <c r="AE325" s="23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</row>
    <row r="326" spans="1:84" s="2" customFormat="1" x14ac:dyDescent="0.2">
      <c r="A326" s="17" t="s">
        <v>3921</v>
      </c>
      <c r="B326" s="17" t="s">
        <v>45</v>
      </c>
      <c r="C326" s="17">
        <v>2025</v>
      </c>
      <c r="D326" s="17" t="str">
        <f t="array" ref="D326">_xlfn.SWITCH(E326,"Bagor","35.18.14","Sukomoro",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6" s="16" t="s">
        <v>114</v>
      </c>
      <c r="F326" s="17" t="s">
        <v>364</v>
      </c>
      <c r="G326" s="17" t="s">
        <v>858</v>
      </c>
      <c r="H326" s="16" t="s">
        <v>31</v>
      </c>
      <c r="I326" s="16">
        <v>2</v>
      </c>
      <c r="J326" s="16">
        <v>2</v>
      </c>
      <c r="K326" s="16">
        <f t="shared" si="6"/>
        <v>4</v>
      </c>
      <c r="L326" s="36">
        <v>15500000</v>
      </c>
      <c r="M326" s="17" t="s">
        <v>172</v>
      </c>
      <c r="N326" s="35">
        <v>30</v>
      </c>
      <c r="O326" s="16" t="s">
        <v>83</v>
      </c>
      <c r="P326" s="18">
        <v>65500000</v>
      </c>
      <c r="Q326" s="17" t="s">
        <v>173</v>
      </c>
      <c r="R326" s="35">
        <v>12</v>
      </c>
      <c r="S326" s="16" t="s">
        <v>83</v>
      </c>
      <c r="T326" s="36">
        <v>25000000</v>
      </c>
      <c r="U326" s="20" t="s">
        <v>22</v>
      </c>
      <c r="V326" s="16" t="s">
        <v>50</v>
      </c>
      <c r="W326" s="16">
        <v>100</v>
      </c>
      <c r="X326" s="16" t="s">
        <v>51</v>
      </c>
      <c r="Y326" s="16">
        <v>100</v>
      </c>
      <c r="Z326" s="16">
        <v>0</v>
      </c>
      <c r="AA326" s="16">
        <v>0</v>
      </c>
      <c r="AB326" s="16">
        <v>0</v>
      </c>
      <c r="AC326" s="16"/>
      <c r="AD326" s="22"/>
      <c r="AE326" s="23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</row>
    <row r="327" spans="1:84" s="2" customFormat="1" x14ac:dyDescent="0.2">
      <c r="A327" s="17" t="s">
        <v>3921</v>
      </c>
      <c r="B327" s="17" t="s">
        <v>45</v>
      </c>
      <c r="C327" s="17">
        <v>2025</v>
      </c>
      <c r="D327" s="17" t="str">
        <f t="array" ref="D327">_xlfn.SWITCH(E327,"Bagor","35.18.14","Sukomoro",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327" s="16" t="s">
        <v>157</v>
      </c>
      <c r="F327" s="33" t="s">
        <v>859</v>
      </c>
      <c r="G327" s="33" t="s">
        <v>860</v>
      </c>
      <c r="H327" s="16" t="s">
        <v>31</v>
      </c>
      <c r="I327" s="16">
        <v>2</v>
      </c>
      <c r="J327" s="16">
        <v>5</v>
      </c>
      <c r="K327" s="16">
        <f t="shared" si="6"/>
        <v>7</v>
      </c>
      <c r="L327" s="18">
        <v>100000000</v>
      </c>
      <c r="M327" s="17" t="s">
        <v>861</v>
      </c>
      <c r="N327" s="18">
        <v>10000</v>
      </c>
      <c r="O327" s="16" t="s">
        <v>862</v>
      </c>
      <c r="P327" s="18">
        <v>35000000</v>
      </c>
      <c r="Q327" s="17" t="s">
        <v>863</v>
      </c>
      <c r="R327" s="18">
        <v>10000</v>
      </c>
      <c r="S327" s="16" t="s">
        <v>862</v>
      </c>
      <c r="T327" s="18">
        <v>12500000</v>
      </c>
      <c r="U327" s="20" t="s">
        <v>22</v>
      </c>
      <c r="V327" s="16">
        <v>0</v>
      </c>
      <c r="W327" s="16">
        <v>0</v>
      </c>
      <c r="X327" s="16">
        <v>0</v>
      </c>
      <c r="Y327" s="16">
        <v>80</v>
      </c>
      <c r="Z327" s="16">
        <v>20</v>
      </c>
      <c r="AA327" s="16">
        <v>0</v>
      </c>
      <c r="AB327" s="16">
        <v>0</v>
      </c>
      <c r="AC327" s="16"/>
      <c r="AD327" s="24">
        <v>2004</v>
      </c>
      <c r="AE327" s="23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</row>
    <row r="328" spans="1:84" s="2" customFormat="1" x14ac:dyDescent="0.2">
      <c r="A328" s="17" t="s">
        <v>3921</v>
      </c>
      <c r="B328" s="17" t="s">
        <v>45</v>
      </c>
      <c r="C328" s="17">
        <v>2025</v>
      </c>
      <c r="D328" s="17" t="str">
        <f t="array" ref="D328">_xlfn.SWITCH(E328,"Bagor","35.18.14","Sukomoro",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28" s="16" t="s">
        <v>92</v>
      </c>
      <c r="F328" s="17" t="s">
        <v>448</v>
      </c>
      <c r="G328" s="17" t="s">
        <v>864</v>
      </c>
      <c r="H328" s="16" t="s">
        <v>47</v>
      </c>
      <c r="I328" s="16">
        <v>14</v>
      </c>
      <c r="J328" s="16">
        <v>7</v>
      </c>
      <c r="K328" s="16">
        <f t="shared" si="6"/>
        <v>21</v>
      </c>
      <c r="L328" s="38">
        <v>25000000</v>
      </c>
      <c r="M328" s="17" t="s">
        <v>258</v>
      </c>
      <c r="N328" s="35">
        <v>50000</v>
      </c>
      <c r="O328" s="16" t="s">
        <v>835</v>
      </c>
      <c r="P328" s="18">
        <v>1750000000</v>
      </c>
      <c r="Q328" s="17" t="s">
        <v>260</v>
      </c>
      <c r="R328" s="35">
        <v>2500</v>
      </c>
      <c r="S328" s="16" t="s">
        <v>261</v>
      </c>
      <c r="T328" s="38">
        <v>926430000</v>
      </c>
      <c r="U328" s="20" t="s">
        <v>22</v>
      </c>
      <c r="V328" s="16">
        <v>0</v>
      </c>
      <c r="W328" s="16">
        <v>0</v>
      </c>
      <c r="X328" s="16">
        <v>0</v>
      </c>
      <c r="Y328" s="16">
        <v>30</v>
      </c>
      <c r="Z328" s="16">
        <v>35</v>
      </c>
      <c r="AA328" s="16">
        <v>35</v>
      </c>
      <c r="AB328" s="16">
        <v>0</v>
      </c>
      <c r="AC328" s="16" t="s">
        <v>865</v>
      </c>
      <c r="AD328" s="22">
        <v>39490</v>
      </c>
      <c r="AE328" s="23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</row>
    <row r="329" spans="1:84" s="2" customFormat="1" x14ac:dyDescent="0.2">
      <c r="A329" s="17" t="s">
        <v>3921</v>
      </c>
      <c r="B329" s="17" t="s">
        <v>45</v>
      </c>
      <c r="C329" s="17">
        <v>2025</v>
      </c>
      <c r="D329" s="17" t="str">
        <f t="array" ref="D329">_xlfn.SWITCH(E329,"Bagor","35.18.14","Sukomoro",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29" s="16" t="s">
        <v>92</v>
      </c>
      <c r="F329" s="17" t="s">
        <v>136</v>
      </c>
      <c r="G329" s="17" t="s">
        <v>866</v>
      </c>
      <c r="H329" s="16" t="s">
        <v>47</v>
      </c>
      <c r="I329" s="16">
        <v>3</v>
      </c>
      <c r="J329" s="16">
        <v>20</v>
      </c>
      <c r="K329" s="16">
        <f t="shared" si="6"/>
        <v>23</v>
      </c>
      <c r="L329" s="38">
        <v>134300000</v>
      </c>
      <c r="M329" s="17" t="s">
        <v>48</v>
      </c>
      <c r="N329" s="35" t="s">
        <v>867</v>
      </c>
      <c r="O329" s="16" t="s">
        <v>492</v>
      </c>
      <c r="P329" s="18">
        <v>472000000</v>
      </c>
      <c r="Q329" s="17" t="s">
        <v>57</v>
      </c>
      <c r="R329" s="35">
        <v>96</v>
      </c>
      <c r="S329" s="16" t="s">
        <v>51</v>
      </c>
      <c r="T329" s="38">
        <v>246200000</v>
      </c>
      <c r="U329" s="20" t="s">
        <v>22</v>
      </c>
      <c r="V329" s="16" t="s">
        <v>52</v>
      </c>
      <c r="W329" s="16">
        <v>900</v>
      </c>
      <c r="X329" s="16" t="s">
        <v>53</v>
      </c>
      <c r="Y329" s="16">
        <v>70</v>
      </c>
      <c r="Z329" s="16">
        <v>30</v>
      </c>
      <c r="AA329" s="16">
        <v>0</v>
      </c>
      <c r="AB329" s="16">
        <v>0</v>
      </c>
      <c r="AC329" s="16"/>
      <c r="AD329" s="22"/>
      <c r="AE329" s="23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</row>
    <row r="330" spans="1:84" s="2" customFormat="1" x14ac:dyDescent="0.2">
      <c r="A330" s="17" t="s">
        <v>3921</v>
      </c>
      <c r="B330" s="17" t="s">
        <v>45</v>
      </c>
      <c r="C330" s="17">
        <v>2025</v>
      </c>
      <c r="D330" s="17" t="str">
        <f t="array" ref="D330">_xlfn.SWITCH(E330,"Bagor","35.18.14","Sukomoro",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0" s="16" t="s">
        <v>92</v>
      </c>
      <c r="F330" s="17" t="s">
        <v>136</v>
      </c>
      <c r="G330" s="17" t="s">
        <v>868</v>
      </c>
      <c r="H330" s="16" t="s">
        <v>47</v>
      </c>
      <c r="I330" s="16">
        <v>5</v>
      </c>
      <c r="J330" s="16">
        <v>28</v>
      </c>
      <c r="K330" s="16">
        <f t="shared" si="6"/>
        <v>33</v>
      </c>
      <c r="L330" s="38">
        <v>201450000</v>
      </c>
      <c r="M330" s="17" t="s">
        <v>48</v>
      </c>
      <c r="N330" s="35" t="s">
        <v>869</v>
      </c>
      <c r="O330" s="16" t="s">
        <v>492</v>
      </c>
      <c r="P330" s="18">
        <v>658650000</v>
      </c>
      <c r="Q330" s="17" t="s">
        <v>57</v>
      </c>
      <c r="R330" s="35">
        <v>144</v>
      </c>
      <c r="S330" s="16" t="s">
        <v>51</v>
      </c>
      <c r="T330" s="38">
        <v>371920000</v>
      </c>
      <c r="U330" s="20" t="s">
        <v>22</v>
      </c>
      <c r="V330" s="16" t="s">
        <v>52</v>
      </c>
      <c r="W330" s="16">
        <v>1300</v>
      </c>
      <c r="X330" s="16" t="s">
        <v>53</v>
      </c>
      <c r="Y330" s="16">
        <v>60</v>
      </c>
      <c r="Z330" s="16">
        <v>40</v>
      </c>
      <c r="AA330" s="16">
        <v>0</v>
      </c>
      <c r="AB330" s="16">
        <v>0</v>
      </c>
      <c r="AC330" s="16"/>
      <c r="AD330" s="22"/>
      <c r="AE330" s="23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</row>
    <row r="331" spans="1:84" s="2" customFormat="1" x14ac:dyDescent="0.2">
      <c r="A331" s="17" t="s">
        <v>3921</v>
      </c>
      <c r="B331" s="17" t="s">
        <v>45</v>
      </c>
      <c r="C331" s="17">
        <v>2025</v>
      </c>
      <c r="D331" s="17" t="str">
        <f t="array" ref="D331">_xlfn.SWITCH(E331,"Bagor","35.18.14","Sukomoro",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1" s="16" t="s">
        <v>92</v>
      </c>
      <c r="F331" s="17" t="s">
        <v>136</v>
      </c>
      <c r="G331" s="17" t="s">
        <v>870</v>
      </c>
      <c r="H331" s="16" t="s">
        <v>31</v>
      </c>
      <c r="I331" s="16">
        <v>7</v>
      </c>
      <c r="J331" s="16">
        <v>5</v>
      </c>
      <c r="K331" s="16">
        <f t="shared" si="6"/>
        <v>12</v>
      </c>
      <c r="L331" s="38">
        <v>16500000</v>
      </c>
      <c r="M331" s="17" t="s">
        <v>871</v>
      </c>
      <c r="N331" s="35">
        <v>76</v>
      </c>
      <c r="O331" s="16" t="s">
        <v>83</v>
      </c>
      <c r="P331" s="18">
        <v>165000000</v>
      </c>
      <c r="Q331" s="17" t="s">
        <v>57</v>
      </c>
      <c r="R331" s="38">
        <v>80</v>
      </c>
      <c r="S331" s="16" t="s">
        <v>51</v>
      </c>
      <c r="T331" s="38">
        <v>65000000</v>
      </c>
      <c r="U331" s="20" t="s">
        <v>22</v>
      </c>
      <c r="V331" s="16" t="s">
        <v>438</v>
      </c>
      <c r="W331" s="16">
        <v>900</v>
      </c>
      <c r="X331" s="16" t="s">
        <v>53</v>
      </c>
      <c r="Y331" s="16">
        <v>55</v>
      </c>
      <c r="Z331" s="16">
        <v>45</v>
      </c>
      <c r="AA331" s="16">
        <v>0</v>
      </c>
      <c r="AB331" s="16">
        <v>0</v>
      </c>
      <c r="AC331" s="16"/>
      <c r="AD331" s="22"/>
      <c r="AE331" s="23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</row>
    <row r="332" spans="1:84" s="2" customFormat="1" x14ac:dyDescent="0.2">
      <c r="A332" s="17" t="s">
        <v>3921</v>
      </c>
      <c r="B332" s="17" t="s">
        <v>45</v>
      </c>
      <c r="C332" s="17">
        <v>2025</v>
      </c>
      <c r="D332" s="17" t="str">
        <f t="array" ref="D332">_xlfn.SWITCH(E332,"Bagor","35.18.14","Sukomoro",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2" s="16" t="s">
        <v>92</v>
      </c>
      <c r="F332" s="17" t="s">
        <v>136</v>
      </c>
      <c r="G332" s="17" t="s">
        <v>872</v>
      </c>
      <c r="H332" s="16" t="s">
        <v>31</v>
      </c>
      <c r="I332" s="16">
        <v>6</v>
      </c>
      <c r="J332" s="16">
        <v>4</v>
      </c>
      <c r="K332" s="16">
        <f t="shared" si="6"/>
        <v>10</v>
      </c>
      <c r="L332" s="38">
        <v>16500000</v>
      </c>
      <c r="M332" s="17" t="s">
        <v>871</v>
      </c>
      <c r="N332" s="35">
        <v>68</v>
      </c>
      <c r="O332" s="16" t="s">
        <v>83</v>
      </c>
      <c r="P332" s="18">
        <v>145000000</v>
      </c>
      <c r="Q332" s="17" t="s">
        <v>57</v>
      </c>
      <c r="R332" s="38">
        <v>75</v>
      </c>
      <c r="S332" s="16" t="s">
        <v>51</v>
      </c>
      <c r="T332" s="38">
        <v>58750000</v>
      </c>
      <c r="U332" s="20" t="s">
        <v>22</v>
      </c>
      <c r="V332" s="16" t="s">
        <v>438</v>
      </c>
      <c r="W332" s="16">
        <v>850</v>
      </c>
      <c r="X332" s="16" t="s">
        <v>53</v>
      </c>
      <c r="Y332" s="16">
        <v>65</v>
      </c>
      <c r="Z332" s="16">
        <v>35</v>
      </c>
      <c r="AA332" s="16">
        <v>0</v>
      </c>
      <c r="AB332" s="16">
        <v>0</v>
      </c>
      <c r="AC332" s="16"/>
      <c r="AD332" s="22"/>
      <c r="AE332" s="23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</row>
    <row r="333" spans="1:84" s="2" customFormat="1" x14ac:dyDescent="0.2">
      <c r="A333" s="17" t="s">
        <v>3921</v>
      </c>
      <c r="B333" s="17" t="s">
        <v>45</v>
      </c>
      <c r="C333" s="17">
        <v>2025</v>
      </c>
      <c r="D333" s="17" t="str">
        <f t="array" ref="D333">_xlfn.SWITCH(E333,"Bagor","35.18.14","Sukomoro",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3" s="16" t="s">
        <v>92</v>
      </c>
      <c r="F333" s="17" t="s">
        <v>136</v>
      </c>
      <c r="G333" s="17" t="s">
        <v>137</v>
      </c>
      <c r="H333" s="16" t="s">
        <v>31</v>
      </c>
      <c r="I333" s="16">
        <v>7</v>
      </c>
      <c r="J333" s="16">
        <v>7</v>
      </c>
      <c r="K333" s="16">
        <f t="shared" si="6"/>
        <v>14</v>
      </c>
      <c r="L333" s="38">
        <v>17500000</v>
      </c>
      <c r="M333" s="17" t="s">
        <v>871</v>
      </c>
      <c r="N333" s="35">
        <v>84</v>
      </c>
      <c r="O333" s="16" t="s">
        <v>83</v>
      </c>
      <c r="P333" s="18">
        <v>179000000</v>
      </c>
      <c r="Q333" s="17" t="s">
        <v>57</v>
      </c>
      <c r="R333" s="38">
        <v>90</v>
      </c>
      <c r="S333" s="16" t="s">
        <v>51</v>
      </c>
      <c r="T333" s="38">
        <v>78500000</v>
      </c>
      <c r="U333" s="20" t="s">
        <v>22</v>
      </c>
      <c r="V333" s="16" t="s">
        <v>438</v>
      </c>
      <c r="W333" s="16">
        <v>1000</v>
      </c>
      <c r="X333" s="16" t="s">
        <v>53</v>
      </c>
      <c r="Y333" s="16">
        <v>60</v>
      </c>
      <c r="Z333" s="16">
        <v>40</v>
      </c>
      <c r="AA333" s="16">
        <v>0</v>
      </c>
      <c r="AB333" s="16">
        <v>0</v>
      </c>
      <c r="AC333" s="16"/>
      <c r="AD333" s="22"/>
      <c r="AE333" s="23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</row>
    <row r="334" spans="1:84" s="2" customFormat="1" x14ac:dyDescent="0.2">
      <c r="A334" s="17" t="s">
        <v>3921</v>
      </c>
      <c r="B334" s="17" t="s">
        <v>45</v>
      </c>
      <c r="C334" s="17">
        <v>2025</v>
      </c>
      <c r="D334" s="17" t="str">
        <f t="array" ref="D334">_xlfn.SWITCH(E334,"Bagor","35.18.14","Sukomoro",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4" s="16" t="s">
        <v>92</v>
      </c>
      <c r="F334" s="17" t="s">
        <v>136</v>
      </c>
      <c r="G334" s="17" t="s">
        <v>873</v>
      </c>
      <c r="H334" s="16" t="s">
        <v>31</v>
      </c>
      <c r="I334" s="16">
        <v>5</v>
      </c>
      <c r="J334" s="16">
        <v>6</v>
      </c>
      <c r="K334" s="16">
        <f t="shared" si="6"/>
        <v>11</v>
      </c>
      <c r="L334" s="38">
        <v>16500000</v>
      </c>
      <c r="M334" s="17" t="s">
        <v>871</v>
      </c>
      <c r="N334" s="35">
        <v>70</v>
      </c>
      <c r="O334" s="16" t="s">
        <v>83</v>
      </c>
      <c r="P334" s="18">
        <v>150000000</v>
      </c>
      <c r="Q334" s="17" t="s">
        <v>57</v>
      </c>
      <c r="R334" s="38">
        <v>76</v>
      </c>
      <c r="S334" s="16" t="s">
        <v>51</v>
      </c>
      <c r="T334" s="38">
        <v>61400000</v>
      </c>
      <c r="U334" s="20" t="s">
        <v>22</v>
      </c>
      <c r="V334" s="16" t="s">
        <v>438</v>
      </c>
      <c r="W334" s="16">
        <v>900</v>
      </c>
      <c r="X334" s="16" t="s">
        <v>53</v>
      </c>
      <c r="Y334" s="16">
        <v>65</v>
      </c>
      <c r="Z334" s="16">
        <v>35</v>
      </c>
      <c r="AA334" s="16">
        <v>0</v>
      </c>
      <c r="AB334" s="16">
        <v>0</v>
      </c>
      <c r="AC334" s="16"/>
      <c r="AD334" s="22"/>
      <c r="AE334" s="23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</row>
    <row r="335" spans="1:84" s="2" customFormat="1" x14ac:dyDescent="0.2">
      <c r="A335" s="17" t="s">
        <v>3921</v>
      </c>
      <c r="B335" s="17" t="s">
        <v>45</v>
      </c>
      <c r="C335" s="17">
        <v>2025</v>
      </c>
      <c r="D335" s="17" t="str">
        <f t="array" ref="D335">_xlfn.SWITCH(E335,"Bagor","35.18.14","Sukomoro",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5" s="16" t="s">
        <v>92</v>
      </c>
      <c r="F335" s="17" t="s">
        <v>874</v>
      </c>
      <c r="G335" s="17" t="s">
        <v>875</v>
      </c>
      <c r="H335" s="16" t="s">
        <v>31</v>
      </c>
      <c r="I335" s="16">
        <v>6</v>
      </c>
      <c r="J335" s="16">
        <v>6</v>
      </c>
      <c r="K335" s="16">
        <f t="shared" si="6"/>
        <v>12</v>
      </c>
      <c r="L335" s="38">
        <v>16500000</v>
      </c>
      <c r="M335" s="17" t="s">
        <v>871</v>
      </c>
      <c r="N335" s="35">
        <v>72</v>
      </c>
      <c r="O335" s="16" t="s">
        <v>83</v>
      </c>
      <c r="P335" s="18">
        <v>165000000</v>
      </c>
      <c r="Q335" s="17" t="s">
        <v>57</v>
      </c>
      <c r="R335" s="38">
        <v>78</v>
      </c>
      <c r="S335" s="16" t="s">
        <v>51</v>
      </c>
      <c r="T335" s="38">
        <v>60700000</v>
      </c>
      <c r="U335" s="20" t="s">
        <v>22</v>
      </c>
      <c r="V335" s="16" t="s">
        <v>438</v>
      </c>
      <c r="W335" s="16">
        <v>900</v>
      </c>
      <c r="X335" s="16" t="s">
        <v>53</v>
      </c>
      <c r="Y335" s="16">
        <v>70</v>
      </c>
      <c r="Z335" s="16">
        <v>30</v>
      </c>
      <c r="AA335" s="16">
        <v>0</v>
      </c>
      <c r="AB335" s="16">
        <v>0</v>
      </c>
      <c r="AC335" s="16"/>
      <c r="AD335" s="22"/>
      <c r="AE335" s="23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</row>
    <row r="336" spans="1:84" s="2" customFormat="1" x14ac:dyDescent="0.2">
      <c r="A336" s="17" t="s">
        <v>3921</v>
      </c>
      <c r="B336" s="17" t="s">
        <v>45</v>
      </c>
      <c r="C336" s="17">
        <v>2025</v>
      </c>
      <c r="D336" s="17" t="str">
        <f t="array" ref="D336">_xlfn.SWITCH(E336,"Bagor","35.18.14","Sukomoro",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6" s="16" t="s">
        <v>92</v>
      </c>
      <c r="F336" s="17" t="s">
        <v>448</v>
      </c>
      <c r="G336" s="17" t="s">
        <v>490</v>
      </c>
      <c r="H336" s="16" t="s">
        <v>47</v>
      </c>
      <c r="I336" s="16">
        <v>16</v>
      </c>
      <c r="J336" s="16">
        <v>4</v>
      </c>
      <c r="K336" s="16">
        <f t="shared" si="6"/>
        <v>20</v>
      </c>
      <c r="L336" s="38">
        <v>100000000</v>
      </c>
      <c r="M336" s="17" t="s">
        <v>258</v>
      </c>
      <c r="N336" s="35">
        <v>7500</v>
      </c>
      <c r="O336" s="16" t="s">
        <v>835</v>
      </c>
      <c r="P336" s="18">
        <v>185750000</v>
      </c>
      <c r="Q336" s="17" t="s">
        <v>876</v>
      </c>
      <c r="R336" s="35">
        <v>1440850</v>
      </c>
      <c r="S336" s="16" t="s">
        <v>268</v>
      </c>
      <c r="T336" s="38">
        <v>78550000</v>
      </c>
      <c r="U336" s="20" t="s">
        <v>22</v>
      </c>
      <c r="V336" s="16">
        <v>0</v>
      </c>
      <c r="W336" s="16">
        <v>0</v>
      </c>
      <c r="X336" s="16">
        <v>0</v>
      </c>
      <c r="Y336" s="16">
        <v>30</v>
      </c>
      <c r="Z336" s="16">
        <v>30</v>
      </c>
      <c r="AA336" s="16">
        <v>40</v>
      </c>
      <c r="AB336" s="16">
        <v>0</v>
      </c>
      <c r="AC336" s="16"/>
      <c r="AD336" s="22"/>
      <c r="AE336" s="23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</row>
    <row r="337" spans="1:84" s="2" customFormat="1" x14ac:dyDescent="0.2">
      <c r="A337" s="17" t="s">
        <v>3921</v>
      </c>
      <c r="B337" s="17" t="s">
        <v>45</v>
      </c>
      <c r="C337" s="17">
        <v>2025</v>
      </c>
      <c r="D337" s="17" t="str">
        <f t="array" ref="D337">_xlfn.SWITCH(E337,"Bagor","35.18.14","Sukomoro",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7" s="16" t="s">
        <v>92</v>
      </c>
      <c r="F337" s="17" t="s">
        <v>877</v>
      </c>
      <c r="G337" s="17" t="s">
        <v>878</v>
      </c>
      <c r="H337" s="16" t="s">
        <v>47</v>
      </c>
      <c r="I337" s="16">
        <v>19</v>
      </c>
      <c r="J337" s="16">
        <v>3</v>
      </c>
      <c r="K337" s="16">
        <f t="shared" si="6"/>
        <v>22</v>
      </c>
      <c r="L337" s="38">
        <v>75000000</v>
      </c>
      <c r="M337" s="17" t="s">
        <v>258</v>
      </c>
      <c r="N337" s="35">
        <v>6000</v>
      </c>
      <c r="O337" s="16" t="s">
        <v>835</v>
      </c>
      <c r="P337" s="18">
        <v>175000000</v>
      </c>
      <c r="Q337" s="17" t="s">
        <v>260</v>
      </c>
      <c r="R337" s="35">
        <v>1152000</v>
      </c>
      <c r="S337" s="16" t="s">
        <v>268</v>
      </c>
      <c r="T337" s="38">
        <v>62125000</v>
      </c>
      <c r="U337" s="20" t="s">
        <v>22</v>
      </c>
      <c r="V337" s="16">
        <v>0</v>
      </c>
      <c r="W337" s="16">
        <v>0</v>
      </c>
      <c r="X337" s="16">
        <v>0</v>
      </c>
      <c r="Y337" s="16">
        <v>35</v>
      </c>
      <c r="Z337" s="16">
        <v>35</v>
      </c>
      <c r="AA337" s="16">
        <v>30</v>
      </c>
      <c r="AB337" s="16">
        <v>0</v>
      </c>
      <c r="AC337" s="16"/>
      <c r="AD337" s="22"/>
      <c r="AE337" s="23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</row>
    <row r="338" spans="1:84" s="2" customFormat="1" x14ac:dyDescent="0.2">
      <c r="A338" s="17" t="s">
        <v>3921</v>
      </c>
      <c r="B338" s="17" t="s">
        <v>45</v>
      </c>
      <c r="C338" s="17">
        <v>2025</v>
      </c>
      <c r="D338" s="17" t="str">
        <f t="array" ref="D338">_xlfn.SWITCH(E338,"Bagor","35.18.14","Sukomoro",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8" s="16" t="s">
        <v>92</v>
      </c>
      <c r="F338" s="17" t="s">
        <v>877</v>
      </c>
      <c r="G338" s="17" t="s">
        <v>879</v>
      </c>
      <c r="H338" s="16" t="s">
        <v>47</v>
      </c>
      <c r="I338" s="16">
        <v>1</v>
      </c>
      <c r="J338" s="16">
        <v>5</v>
      </c>
      <c r="K338" s="16">
        <f t="shared" si="6"/>
        <v>6</v>
      </c>
      <c r="L338" s="38">
        <v>136000000</v>
      </c>
      <c r="M338" s="17" t="s">
        <v>48</v>
      </c>
      <c r="N338" s="35" t="s">
        <v>880</v>
      </c>
      <c r="O338" s="16" t="s">
        <v>498</v>
      </c>
      <c r="P338" s="18">
        <v>43000000</v>
      </c>
      <c r="Q338" s="17" t="s">
        <v>57</v>
      </c>
      <c r="R338" s="35">
        <v>45</v>
      </c>
      <c r="S338" s="16" t="s">
        <v>51</v>
      </c>
      <c r="T338" s="38">
        <v>21000000</v>
      </c>
      <c r="U338" s="20" t="s">
        <v>22</v>
      </c>
      <c r="V338" s="16" t="s">
        <v>52</v>
      </c>
      <c r="W338" s="16">
        <v>450</v>
      </c>
      <c r="X338" s="16" t="s">
        <v>53</v>
      </c>
      <c r="Y338" s="16">
        <v>70</v>
      </c>
      <c r="Z338" s="16">
        <v>30</v>
      </c>
      <c r="AA338" s="16">
        <v>0</v>
      </c>
      <c r="AB338" s="16">
        <v>0</v>
      </c>
      <c r="AC338" s="16"/>
      <c r="AD338" s="22"/>
      <c r="AE338" s="23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</row>
    <row r="339" spans="1:84" s="2" customFormat="1" x14ac:dyDescent="0.2">
      <c r="A339" s="17" t="s">
        <v>3921</v>
      </c>
      <c r="B339" s="17" t="s">
        <v>45</v>
      </c>
      <c r="C339" s="17">
        <v>2025</v>
      </c>
      <c r="D339" s="17" t="str">
        <f t="array" ref="D339">_xlfn.SWITCH(E339,"Bagor","35.18.14","Sukomoro",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9" s="16" t="s">
        <v>92</v>
      </c>
      <c r="F339" s="17" t="s">
        <v>448</v>
      </c>
      <c r="G339" s="17" t="s">
        <v>644</v>
      </c>
      <c r="H339" s="16" t="s">
        <v>47</v>
      </c>
      <c r="I339" s="16">
        <v>2</v>
      </c>
      <c r="J339" s="16">
        <v>13</v>
      </c>
      <c r="K339" s="16">
        <f t="shared" si="6"/>
        <v>15</v>
      </c>
      <c r="L339" s="38">
        <v>257500000</v>
      </c>
      <c r="M339" s="17" t="s">
        <v>48</v>
      </c>
      <c r="N339" s="35" t="s">
        <v>881</v>
      </c>
      <c r="O339" s="16" t="s">
        <v>498</v>
      </c>
      <c r="P339" s="18">
        <v>76600000</v>
      </c>
      <c r="Q339" s="17" t="s">
        <v>57</v>
      </c>
      <c r="R339" s="35">
        <v>60</v>
      </c>
      <c r="S339" s="16" t="s">
        <v>51</v>
      </c>
      <c r="T339" s="38">
        <v>37000000</v>
      </c>
      <c r="U339" s="20" t="s">
        <v>22</v>
      </c>
      <c r="V339" s="16" t="s">
        <v>52</v>
      </c>
      <c r="W339" s="16">
        <v>600</v>
      </c>
      <c r="X339" s="16" t="s">
        <v>53</v>
      </c>
      <c r="Y339" s="16">
        <v>65</v>
      </c>
      <c r="Z339" s="16">
        <v>35</v>
      </c>
      <c r="AA339" s="16">
        <v>0</v>
      </c>
      <c r="AB339" s="16">
        <v>0</v>
      </c>
      <c r="AC339" s="16"/>
      <c r="AD339" s="22"/>
      <c r="AE339" s="23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</row>
    <row r="340" spans="1:84" s="2" customFormat="1" x14ac:dyDescent="0.2">
      <c r="A340" s="17" t="s">
        <v>3921</v>
      </c>
      <c r="B340" s="17" t="s">
        <v>45</v>
      </c>
      <c r="C340" s="17">
        <v>2025</v>
      </c>
      <c r="D340" s="17" t="str">
        <f t="array" ref="D340">_xlfn.SWITCH(E340,"Jatikalen","35.18.20","Kertosono", "35.18.08","Lengkong","35.18.19","Loceret","35.18.04","Tanjunganom","35.18.11","Wilangan","35.18.15")</f>
        <v>35.18.11</v>
      </c>
      <c r="E340" s="16" t="s">
        <v>60</v>
      </c>
      <c r="F340" s="17" t="s">
        <v>59</v>
      </c>
      <c r="G340" s="17" t="s">
        <v>882</v>
      </c>
      <c r="H340" s="16" t="s">
        <v>31</v>
      </c>
      <c r="I340" s="16">
        <v>12</v>
      </c>
      <c r="J340" s="16">
        <v>13</v>
      </c>
      <c r="K340" s="16">
        <f t="shared" si="6"/>
        <v>25</v>
      </c>
      <c r="L340" s="36">
        <v>55500000</v>
      </c>
      <c r="M340" s="17" t="s">
        <v>167</v>
      </c>
      <c r="N340" s="35">
        <v>12</v>
      </c>
      <c r="O340" s="16" t="s">
        <v>83</v>
      </c>
      <c r="P340" s="18">
        <v>72000000</v>
      </c>
      <c r="Q340" s="17" t="s">
        <v>168</v>
      </c>
      <c r="R340" s="35">
        <v>67200</v>
      </c>
      <c r="S340" s="16" t="s">
        <v>143</v>
      </c>
      <c r="T340" s="36">
        <v>40325000</v>
      </c>
      <c r="U340" s="20" t="s">
        <v>22</v>
      </c>
      <c r="V340" s="16">
        <v>0</v>
      </c>
      <c r="W340" s="16">
        <v>0</v>
      </c>
      <c r="X340" s="16">
        <v>0</v>
      </c>
      <c r="Y340" s="16">
        <v>60</v>
      </c>
      <c r="Z340" s="16">
        <v>40</v>
      </c>
      <c r="AA340" s="16">
        <v>0</v>
      </c>
      <c r="AB340" s="16">
        <v>0</v>
      </c>
      <c r="AC340" s="16"/>
      <c r="AD340" s="22"/>
      <c r="AE340" s="23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</row>
    <row r="341" spans="1:84" s="2" customFormat="1" x14ac:dyDescent="0.2">
      <c r="A341" s="17" t="s">
        <v>3921</v>
      </c>
      <c r="B341" s="17" t="s">
        <v>45</v>
      </c>
      <c r="C341" s="17">
        <v>2025</v>
      </c>
      <c r="D341" s="17" t="str">
        <f t="array" ref="D341">_xlfn.SWITCH(E341,"Jatikalen","35.18.20","Kertosono", "35.18.08","Lengkong","35.18.19","Loceret","35.18.04","Tanjunganom","35.18.11","Wilangan","35.18.15")</f>
        <v>35.18.11</v>
      </c>
      <c r="E341" s="16" t="s">
        <v>60</v>
      </c>
      <c r="F341" s="17" t="s">
        <v>883</v>
      </c>
      <c r="G341" s="17" t="s">
        <v>884</v>
      </c>
      <c r="H341" s="16" t="s">
        <v>31</v>
      </c>
      <c r="I341" s="16">
        <v>3</v>
      </c>
      <c r="J341" s="16">
        <v>1</v>
      </c>
      <c r="K341" s="16">
        <f t="shared" si="6"/>
        <v>4</v>
      </c>
      <c r="L341" s="36">
        <v>6000000</v>
      </c>
      <c r="M341" s="17" t="s">
        <v>406</v>
      </c>
      <c r="N341" s="35" t="s">
        <v>885</v>
      </c>
      <c r="O341" s="16" t="s">
        <v>886</v>
      </c>
      <c r="P341" s="18">
        <v>3190000</v>
      </c>
      <c r="Q341" s="17" t="s">
        <v>153</v>
      </c>
      <c r="R341" s="35">
        <v>270</v>
      </c>
      <c r="S341" s="16" t="s">
        <v>35</v>
      </c>
      <c r="T341" s="36">
        <v>1620000</v>
      </c>
      <c r="U341" s="20" t="s">
        <v>22</v>
      </c>
      <c r="V341" s="16" t="s">
        <v>438</v>
      </c>
      <c r="W341" s="16">
        <v>300</v>
      </c>
      <c r="X341" s="16" t="s">
        <v>53</v>
      </c>
      <c r="Y341" s="16">
        <v>70</v>
      </c>
      <c r="Z341" s="16">
        <v>30</v>
      </c>
      <c r="AA341" s="16">
        <v>0</v>
      </c>
      <c r="AB341" s="16">
        <v>0</v>
      </c>
      <c r="AC341" s="16"/>
      <c r="AD341" s="22"/>
      <c r="AE341" s="23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</row>
    <row r="342" spans="1:84" s="2" customFormat="1" x14ac:dyDescent="0.2">
      <c r="A342" s="17" t="s">
        <v>3921</v>
      </c>
      <c r="B342" s="17" t="s">
        <v>45</v>
      </c>
      <c r="C342" s="17">
        <v>2025</v>
      </c>
      <c r="D342" s="17" t="str">
        <f t="array" ref="D342">_xlfn.SWITCH(E342,"Bagor","35.18.14","Sukomoro",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342" s="16" t="s">
        <v>103</v>
      </c>
      <c r="F342" s="17" t="s">
        <v>156</v>
      </c>
      <c r="G342" s="17" t="s">
        <v>887</v>
      </c>
      <c r="H342" s="16" t="s">
        <v>47</v>
      </c>
      <c r="I342" s="16">
        <v>4</v>
      </c>
      <c r="J342" s="16">
        <v>15</v>
      </c>
      <c r="K342" s="16">
        <f t="shared" si="6"/>
        <v>19</v>
      </c>
      <c r="L342" s="36">
        <v>15000000</v>
      </c>
      <c r="M342" s="17" t="s">
        <v>108</v>
      </c>
      <c r="N342" s="35">
        <v>50</v>
      </c>
      <c r="O342" s="16" t="s">
        <v>49</v>
      </c>
      <c r="P342" s="18">
        <v>984375000</v>
      </c>
      <c r="Q342" s="17" t="s">
        <v>212</v>
      </c>
      <c r="R342" s="35">
        <v>30</v>
      </c>
      <c r="S342" s="16" t="s">
        <v>51</v>
      </c>
      <c r="T342" s="36">
        <v>250000000</v>
      </c>
      <c r="U342" s="20" t="s">
        <v>22</v>
      </c>
      <c r="V342" s="16" t="s">
        <v>52</v>
      </c>
      <c r="W342" s="16">
        <v>300</v>
      </c>
      <c r="X342" s="16" t="s">
        <v>53</v>
      </c>
      <c r="Y342" s="16">
        <v>60</v>
      </c>
      <c r="Z342" s="16">
        <v>40</v>
      </c>
      <c r="AA342" s="16">
        <v>0</v>
      </c>
      <c r="AB342" s="16">
        <v>0</v>
      </c>
      <c r="AC342" s="16"/>
      <c r="AD342" s="22"/>
      <c r="AE342" s="23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</row>
    <row r="343" spans="1:84" s="2" customFormat="1" x14ac:dyDescent="0.2">
      <c r="A343" s="17" t="s">
        <v>3921</v>
      </c>
      <c r="B343" s="17" t="s">
        <v>45</v>
      </c>
      <c r="C343" s="17">
        <v>2025</v>
      </c>
      <c r="D343" s="17" t="str">
        <f t="array" ref="D343">_xlfn.SWITCH(E343,"Jatikalen","35.18.20","Kertosono", "35.18.08","Lengkong","35.18.19","Loceret","35.18.04","Tanjunganom","35.18.11","Wilangan","35.18.15")</f>
        <v>35.18.11</v>
      </c>
      <c r="E343" s="16" t="s">
        <v>60</v>
      </c>
      <c r="F343" s="17" t="s">
        <v>59</v>
      </c>
      <c r="G343" s="17" t="s">
        <v>888</v>
      </c>
      <c r="H343" s="16" t="s">
        <v>47</v>
      </c>
      <c r="I343" s="16">
        <v>0</v>
      </c>
      <c r="J343" s="16">
        <v>5</v>
      </c>
      <c r="K343" s="16">
        <f t="shared" si="6"/>
        <v>5</v>
      </c>
      <c r="L343" s="36">
        <v>175000000</v>
      </c>
      <c r="M343" s="17" t="s">
        <v>48</v>
      </c>
      <c r="N343" s="35" t="s">
        <v>889</v>
      </c>
      <c r="O343" s="16" t="s">
        <v>498</v>
      </c>
      <c r="P343" s="18">
        <v>50800000</v>
      </c>
      <c r="Q343" s="17" t="s">
        <v>57</v>
      </c>
      <c r="R343" s="35">
        <v>80</v>
      </c>
      <c r="S343" s="16" t="s">
        <v>51</v>
      </c>
      <c r="T343" s="36">
        <v>23180000</v>
      </c>
      <c r="U343" s="20" t="s">
        <v>22</v>
      </c>
      <c r="V343" s="16" t="s">
        <v>52</v>
      </c>
      <c r="W343" s="16">
        <v>400</v>
      </c>
      <c r="X343" s="16" t="s">
        <v>53</v>
      </c>
      <c r="Y343" s="16">
        <v>65</v>
      </c>
      <c r="Z343" s="16">
        <v>35</v>
      </c>
      <c r="AA343" s="16">
        <v>0</v>
      </c>
      <c r="AB343" s="16">
        <v>0</v>
      </c>
      <c r="AC343" s="16"/>
      <c r="AD343" s="22"/>
      <c r="AE343" s="23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</row>
    <row r="344" spans="1:84" s="2" customFormat="1" x14ac:dyDescent="0.2">
      <c r="A344" s="17" t="s">
        <v>3921</v>
      </c>
      <c r="B344" s="17" t="s">
        <v>45</v>
      </c>
      <c r="C344" s="17">
        <v>2025</v>
      </c>
      <c r="D344" s="17" t="str">
        <f t="array" ref="D344">_xlfn.SWITCH(E344,"Jatikalen","35.18.20","Kertosono", "35.18.08","Lengkong","35.18.19","Loceret","35.18.04","Tanjunganom","35.18.11","Wilangan","35.18.15")</f>
        <v>35.18.11</v>
      </c>
      <c r="E344" s="16" t="s">
        <v>60</v>
      </c>
      <c r="F344" s="17" t="s">
        <v>890</v>
      </c>
      <c r="G344" s="17" t="s">
        <v>891</v>
      </c>
      <c r="H344" s="16" t="s">
        <v>47</v>
      </c>
      <c r="I344" s="16">
        <v>1</v>
      </c>
      <c r="J344" s="16">
        <v>7</v>
      </c>
      <c r="K344" s="16">
        <f t="shared" si="6"/>
        <v>8</v>
      </c>
      <c r="L344" s="36">
        <v>180000000</v>
      </c>
      <c r="M344" s="17" t="s">
        <v>48</v>
      </c>
      <c r="N344" s="35">
        <v>600</v>
      </c>
      <c r="O344" s="16" t="s">
        <v>51</v>
      </c>
      <c r="P344" s="18">
        <v>508000000</v>
      </c>
      <c r="Q344" s="17" t="s">
        <v>57</v>
      </c>
      <c r="R344" s="35">
        <v>625</v>
      </c>
      <c r="S344" s="16" t="s">
        <v>51</v>
      </c>
      <c r="T344" s="36">
        <v>253180000</v>
      </c>
      <c r="U344" s="20" t="s">
        <v>22</v>
      </c>
      <c r="V344" s="16" t="s">
        <v>52</v>
      </c>
      <c r="W344" s="16">
        <v>400</v>
      </c>
      <c r="X344" s="16" t="s">
        <v>53</v>
      </c>
      <c r="Y344" s="16">
        <v>65</v>
      </c>
      <c r="Z344" s="16">
        <v>35</v>
      </c>
      <c r="AA344" s="16">
        <v>0</v>
      </c>
      <c r="AB344" s="16">
        <v>0</v>
      </c>
      <c r="AC344" s="16"/>
      <c r="AD344" s="22">
        <v>39259</v>
      </c>
      <c r="AE344" s="23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</row>
    <row r="345" spans="1:84" s="2" customFormat="1" x14ac:dyDescent="0.2">
      <c r="A345" s="17" t="s">
        <v>3921</v>
      </c>
      <c r="B345" s="17" t="s">
        <v>45</v>
      </c>
      <c r="C345" s="17">
        <v>2025</v>
      </c>
      <c r="D345" s="17" t="str">
        <f t="array" ref="D345">_xlfn.SWITCH(E345,"Jatikalen","35.18.20","Kertosono", "35.18.08","Lengkong","35.18.19","Loceret","35.18.04","Tanjunganom","35.18.11","Wilangan","35.18.15")</f>
        <v>35.18.11</v>
      </c>
      <c r="E345" s="16" t="s">
        <v>60</v>
      </c>
      <c r="F345" s="17" t="s">
        <v>892</v>
      </c>
      <c r="G345" s="17" t="s">
        <v>893</v>
      </c>
      <c r="H345" s="16" t="s">
        <v>47</v>
      </c>
      <c r="I345" s="16">
        <v>1</v>
      </c>
      <c r="J345" s="16">
        <v>7</v>
      </c>
      <c r="K345" s="16">
        <f t="shared" si="6"/>
        <v>8</v>
      </c>
      <c r="L345" s="36">
        <v>241250000</v>
      </c>
      <c r="M345" s="17" t="s">
        <v>48</v>
      </c>
      <c r="N345" s="35" t="s">
        <v>894</v>
      </c>
      <c r="O345" s="16" t="s">
        <v>498</v>
      </c>
      <c r="P345" s="18">
        <v>111760000</v>
      </c>
      <c r="Q345" s="17" t="s">
        <v>57</v>
      </c>
      <c r="R345" s="35">
        <v>100</v>
      </c>
      <c r="S345" s="16" t="s">
        <v>51</v>
      </c>
      <c r="T345" s="36">
        <v>51500000</v>
      </c>
      <c r="U345" s="20" t="s">
        <v>22</v>
      </c>
      <c r="V345" s="16" t="s">
        <v>52</v>
      </c>
      <c r="W345" s="16">
        <v>500</v>
      </c>
      <c r="X345" s="16" t="s">
        <v>53</v>
      </c>
      <c r="Y345" s="16">
        <v>60</v>
      </c>
      <c r="Z345" s="16">
        <v>40</v>
      </c>
      <c r="AA345" s="16">
        <v>0</v>
      </c>
      <c r="AB345" s="16">
        <v>0</v>
      </c>
      <c r="AC345" s="16"/>
      <c r="AD345" s="22"/>
      <c r="AE345" s="23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</row>
    <row r="346" spans="1:84" s="2" customFormat="1" x14ac:dyDescent="0.2">
      <c r="A346" s="17" t="s">
        <v>3921</v>
      </c>
      <c r="B346" s="17" t="s">
        <v>45</v>
      </c>
      <c r="C346" s="17">
        <v>2025</v>
      </c>
      <c r="D346" s="17" t="str">
        <f t="array" ref="D346">_xlfn.SWITCH(E346,"Jatikalen","35.18.20","Kertosono", "35.18.08","Lengkong","35.18.19","Loceret","35.18.04","Tanjunganom","35.18.11","Wilangan","35.18.15")</f>
        <v>35.18.11</v>
      </c>
      <c r="E346" s="16" t="s">
        <v>60</v>
      </c>
      <c r="F346" s="17" t="s">
        <v>344</v>
      </c>
      <c r="G346" s="17" t="s">
        <v>895</v>
      </c>
      <c r="H346" s="16" t="s">
        <v>47</v>
      </c>
      <c r="I346" s="16">
        <v>2</v>
      </c>
      <c r="J346" s="16">
        <v>8</v>
      </c>
      <c r="K346" s="16">
        <f t="shared" si="6"/>
        <v>10</v>
      </c>
      <c r="L346" s="36">
        <v>316550000</v>
      </c>
      <c r="M346" s="17" t="s">
        <v>48</v>
      </c>
      <c r="N346" s="35" t="s">
        <v>896</v>
      </c>
      <c r="O346" s="16" t="s">
        <v>624</v>
      </c>
      <c r="P346" s="18">
        <v>274184000</v>
      </c>
      <c r="Q346" s="17" t="s">
        <v>57</v>
      </c>
      <c r="R346" s="35">
        <v>180</v>
      </c>
      <c r="S346" s="16" t="s">
        <v>51</v>
      </c>
      <c r="T346" s="36">
        <v>147646000</v>
      </c>
      <c r="U346" s="20" t="s">
        <v>22</v>
      </c>
      <c r="V346" s="16" t="s">
        <v>52</v>
      </c>
      <c r="W346" s="16">
        <v>600</v>
      </c>
      <c r="X346" s="16" t="s">
        <v>53</v>
      </c>
      <c r="Y346" s="16">
        <v>55</v>
      </c>
      <c r="Z346" s="16">
        <v>45</v>
      </c>
      <c r="AA346" s="16">
        <v>0</v>
      </c>
      <c r="AB346" s="16">
        <v>0</v>
      </c>
      <c r="AC346" s="16"/>
      <c r="AD346" s="22"/>
      <c r="AE346" s="23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</row>
    <row r="347" spans="1:84" s="2" customFormat="1" x14ac:dyDescent="0.2">
      <c r="A347" s="17" t="s">
        <v>3921</v>
      </c>
      <c r="B347" s="17" t="s">
        <v>45</v>
      </c>
      <c r="C347" s="17">
        <v>2025</v>
      </c>
      <c r="D347" s="17" t="str">
        <f t="array" ref="D347">_xlfn.SWITCH(E347,"Jatikalen","35.18.20","Kertosono", "35.18.08","Lengkong","35.18.19","Loceret","35.18.04","Tanjunganom","35.18.11","Wilangan","35.18.15")</f>
        <v>35.18.11</v>
      </c>
      <c r="E347" s="16" t="s">
        <v>60</v>
      </c>
      <c r="F347" s="17" t="s">
        <v>170</v>
      </c>
      <c r="G347" s="17" t="s">
        <v>897</v>
      </c>
      <c r="H347" s="16" t="s">
        <v>31</v>
      </c>
      <c r="I347" s="16">
        <v>17</v>
      </c>
      <c r="J347" s="16">
        <v>3</v>
      </c>
      <c r="K347" s="16">
        <f t="shared" si="6"/>
        <v>20</v>
      </c>
      <c r="L347" s="36">
        <v>35000000</v>
      </c>
      <c r="M347" s="17" t="s">
        <v>180</v>
      </c>
      <c r="N347" s="35">
        <v>15</v>
      </c>
      <c r="O347" s="16" t="s">
        <v>83</v>
      </c>
      <c r="P347" s="18">
        <v>72500000</v>
      </c>
      <c r="Q347" s="17" t="s">
        <v>159</v>
      </c>
      <c r="R347" s="35" t="s">
        <v>580</v>
      </c>
      <c r="S347" s="16" t="s">
        <v>83</v>
      </c>
      <c r="T347" s="36">
        <v>38750000</v>
      </c>
      <c r="U347" s="20" t="s">
        <v>22</v>
      </c>
      <c r="V347" s="16" t="s">
        <v>50</v>
      </c>
      <c r="W347" s="16">
        <v>155</v>
      </c>
      <c r="X347" s="16" t="s">
        <v>51</v>
      </c>
      <c r="Y347" s="16">
        <v>70</v>
      </c>
      <c r="Z347" s="16">
        <v>30</v>
      </c>
      <c r="AA347" s="16">
        <v>0</v>
      </c>
      <c r="AB347" s="16">
        <v>0</v>
      </c>
      <c r="AC347" s="16"/>
      <c r="AD347" s="22"/>
      <c r="AE347" s="23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</row>
    <row r="348" spans="1:84" s="2" customFormat="1" x14ac:dyDescent="0.2">
      <c r="A348" s="17" t="s">
        <v>3921</v>
      </c>
      <c r="B348" s="17" t="s">
        <v>45</v>
      </c>
      <c r="C348" s="17">
        <v>2025</v>
      </c>
      <c r="D348" s="17" t="str">
        <f t="array" ref="D348">_xlfn.SWITCH(E348,"Jatikalen","35.18.20","Kertosono", "35.18.08","Lengkong","35.18.19","Loceret","35.18.04","Tanjunganom","35.18.11","Wilangan","35.18.15")</f>
        <v>35.18.11</v>
      </c>
      <c r="E348" s="16" t="s">
        <v>60</v>
      </c>
      <c r="F348" s="17" t="s">
        <v>170</v>
      </c>
      <c r="G348" s="17" t="s">
        <v>898</v>
      </c>
      <c r="H348" s="16" t="s">
        <v>31</v>
      </c>
      <c r="I348" s="16">
        <v>16</v>
      </c>
      <c r="J348" s="16">
        <v>4</v>
      </c>
      <c r="K348" s="16">
        <f t="shared" si="6"/>
        <v>20</v>
      </c>
      <c r="L348" s="36">
        <v>35000000</v>
      </c>
      <c r="M348" s="17" t="s">
        <v>180</v>
      </c>
      <c r="N348" s="35">
        <v>15</v>
      </c>
      <c r="O348" s="16" t="s">
        <v>83</v>
      </c>
      <c r="P348" s="18">
        <v>72800000</v>
      </c>
      <c r="Q348" s="17" t="s">
        <v>159</v>
      </c>
      <c r="R348" s="35" t="s">
        <v>580</v>
      </c>
      <c r="S348" s="16" t="s">
        <v>83</v>
      </c>
      <c r="T348" s="36">
        <v>38750000</v>
      </c>
      <c r="U348" s="20" t="s">
        <v>22</v>
      </c>
      <c r="V348" s="16" t="s">
        <v>50</v>
      </c>
      <c r="W348" s="16">
        <v>155</v>
      </c>
      <c r="X348" s="16" t="s">
        <v>51</v>
      </c>
      <c r="Y348" s="16">
        <v>65</v>
      </c>
      <c r="Z348" s="16">
        <v>35</v>
      </c>
      <c r="AA348" s="16">
        <v>0</v>
      </c>
      <c r="AB348" s="16">
        <v>0</v>
      </c>
      <c r="AC348" s="16"/>
      <c r="AD348" s="22"/>
      <c r="AE348" s="23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</row>
    <row r="349" spans="1:84" s="2" customFormat="1" x14ac:dyDescent="0.2">
      <c r="A349" s="17" t="s">
        <v>3921</v>
      </c>
      <c r="B349" s="17" t="s">
        <v>45</v>
      </c>
      <c r="C349" s="17">
        <v>2025</v>
      </c>
      <c r="D349" s="17" t="str">
        <f t="array" ref="D349">_xlfn.SWITCH(E349,"Jatikalen","35.18.20","Kertosono", "35.18.08","Lengkong","35.18.19","Loceret","35.18.04","Tanjunganom","35.18.11","Wilangan","35.18.15")</f>
        <v>35.18.11</v>
      </c>
      <c r="E349" s="16" t="s">
        <v>60</v>
      </c>
      <c r="F349" s="17" t="s">
        <v>170</v>
      </c>
      <c r="G349" s="17" t="s">
        <v>899</v>
      </c>
      <c r="H349" s="16" t="s">
        <v>31</v>
      </c>
      <c r="I349" s="16">
        <v>15</v>
      </c>
      <c r="J349" s="16">
        <v>3</v>
      </c>
      <c r="K349" s="16">
        <f t="shared" si="6"/>
        <v>18</v>
      </c>
      <c r="L349" s="36">
        <v>34500000</v>
      </c>
      <c r="M349" s="17" t="s">
        <v>180</v>
      </c>
      <c r="N349" s="35">
        <v>15</v>
      </c>
      <c r="O349" s="16" t="s">
        <v>83</v>
      </c>
      <c r="P349" s="18">
        <v>72400000</v>
      </c>
      <c r="Q349" s="17" t="s">
        <v>159</v>
      </c>
      <c r="R349" s="35" t="s">
        <v>580</v>
      </c>
      <c r="S349" s="16" t="s">
        <v>83</v>
      </c>
      <c r="T349" s="36">
        <v>38750000</v>
      </c>
      <c r="U349" s="20" t="s">
        <v>22</v>
      </c>
      <c r="V349" s="16" t="s">
        <v>50</v>
      </c>
      <c r="W349" s="16">
        <v>155</v>
      </c>
      <c r="X349" s="16" t="s">
        <v>51</v>
      </c>
      <c r="Y349" s="16">
        <v>70</v>
      </c>
      <c r="Z349" s="16">
        <v>30</v>
      </c>
      <c r="AA349" s="16">
        <v>0</v>
      </c>
      <c r="AB349" s="16">
        <v>0</v>
      </c>
      <c r="AC349" s="16"/>
      <c r="AD349" s="22"/>
      <c r="AE349" s="23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</row>
    <row r="350" spans="1:84" s="2" customFormat="1" x14ac:dyDescent="0.2">
      <c r="A350" s="17" t="s">
        <v>3921</v>
      </c>
      <c r="B350" s="17" t="s">
        <v>45</v>
      </c>
      <c r="C350" s="17">
        <v>2025</v>
      </c>
      <c r="D350" s="17" t="str">
        <f t="array" ref="D350">_xlfn.SWITCH(E350,"Jatikalen","35.18.20","Kertosono", "35.18.08","Lengkong","35.18.19","Loceret","35.18.04","Tanjunganom","35.18.11","Wilangan","35.18.15")</f>
        <v>35.18.11</v>
      </c>
      <c r="E350" s="16" t="s">
        <v>60</v>
      </c>
      <c r="F350" s="17" t="s">
        <v>59</v>
      </c>
      <c r="G350" s="17" t="s">
        <v>900</v>
      </c>
      <c r="H350" s="16" t="s">
        <v>31</v>
      </c>
      <c r="I350" s="16">
        <v>18</v>
      </c>
      <c r="J350" s="16">
        <v>5</v>
      </c>
      <c r="K350" s="16">
        <f t="shared" si="6"/>
        <v>23</v>
      </c>
      <c r="L350" s="36">
        <v>36000000</v>
      </c>
      <c r="M350" s="17" t="s">
        <v>180</v>
      </c>
      <c r="N350" s="35">
        <v>15</v>
      </c>
      <c r="O350" s="16" t="s">
        <v>83</v>
      </c>
      <c r="P350" s="18">
        <v>72600000</v>
      </c>
      <c r="Q350" s="17" t="s">
        <v>159</v>
      </c>
      <c r="R350" s="35" t="s">
        <v>580</v>
      </c>
      <c r="S350" s="16" t="s">
        <v>83</v>
      </c>
      <c r="T350" s="36">
        <v>38750000</v>
      </c>
      <c r="U350" s="20" t="s">
        <v>22</v>
      </c>
      <c r="V350" s="16" t="s">
        <v>50</v>
      </c>
      <c r="W350" s="16">
        <v>155</v>
      </c>
      <c r="X350" s="16" t="s">
        <v>51</v>
      </c>
      <c r="Y350" s="16">
        <v>75</v>
      </c>
      <c r="Z350" s="16">
        <v>25</v>
      </c>
      <c r="AA350" s="16">
        <v>0</v>
      </c>
      <c r="AB350" s="16">
        <v>0</v>
      </c>
      <c r="AC350" s="16"/>
      <c r="AD350" s="22"/>
      <c r="AE350" s="23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</row>
    <row r="351" spans="1:84" s="2" customFormat="1" x14ac:dyDescent="0.2">
      <c r="A351" s="17" t="s">
        <v>3921</v>
      </c>
      <c r="B351" s="17" t="s">
        <v>45</v>
      </c>
      <c r="C351" s="17">
        <v>2025</v>
      </c>
      <c r="D351" s="17" t="str">
        <f t="array" ref="D351">_xlfn.SWITCH(E351,"Jatikalen","35.18.20","Kertosono", "35.18.08","Lengkong","35.18.19","Loceret","35.18.04","Tanjunganom","35.18.11","Wilangan","35.18.15")</f>
        <v>35.18.11</v>
      </c>
      <c r="E351" s="16" t="s">
        <v>60</v>
      </c>
      <c r="F351" s="17" t="s">
        <v>170</v>
      </c>
      <c r="G351" s="17" t="s">
        <v>602</v>
      </c>
      <c r="H351" s="16" t="s">
        <v>47</v>
      </c>
      <c r="I351" s="16">
        <v>4</v>
      </c>
      <c r="J351" s="16">
        <v>6</v>
      </c>
      <c r="K351" s="16">
        <f t="shared" si="6"/>
        <v>10</v>
      </c>
      <c r="L351" s="36">
        <v>35000000</v>
      </c>
      <c r="M351" s="17" t="s">
        <v>901</v>
      </c>
      <c r="N351" s="35">
        <v>75000</v>
      </c>
      <c r="O351" s="16" t="s">
        <v>49</v>
      </c>
      <c r="P351" s="18">
        <v>37500000</v>
      </c>
      <c r="Q351" s="17" t="s">
        <v>902</v>
      </c>
      <c r="R351" s="35">
        <v>24000</v>
      </c>
      <c r="S351" s="16" t="s">
        <v>229</v>
      </c>
      <c r="T351" s="36">
        <v>12000000</v>
      </c>
      <c r="U351" s="20" t="s">
        <v>22</v>
      </c>
      <c r="V351" s="16">
        <v>0</v>
      </c>
      <c r="W351" s="16">
        <v>0</v>
      </c>
      <c r="X351" s="16">
        <v>0</v>
      </c>
      <c r="Y351" s="16">
        <v>75</v>
      </c>
      <c r="Z351" s="16">
        <v>25</v>
      </c>
      <c r="AA351" s="16">
        <v>0</v>
      </c>
      <c r="AB351" s="16">
        <v>0</v>
      </c>
      <c r="AC351" s="16"/>
      <c r="AD351" s="22"/>
      <c r="AE351" s="23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</row>
    <row r="352" spans="1:84" s="2" customFormat="1" x14ac:dyDescent="0.2">
      <c r="A352" s="17" t="s">
        <v>3921</v>
      </c>
      <c r="B352" s="17" t="s">
        <v>45</v>
      </c>
      <c r="C352" s="17">
        <v>2025</v>
      </c>
      <c r="D352" s="17" t="str">
        <f t="array" ref="D352">_xlfn.SWITCH(E352,"Jatikalen","35.18.20","Kertosono", "35.18.08","Lengkong","35.18.19","Loceret","35.18.04","Tanjunganom","35.18.11","Wilangan","35.18.15")</f>
        <v>35.18.11</v>
      </c>
      <c r="E352" s="16" t="s">
        <v>60</v>
      </c>
      <c r="F352" s="17" t="s">
        <v>59</v>
      </c>
      <c r="G352" s="17" t="s">
        <v>903</v>
      </c>
      <c r="H352" s="16" t="s">
        <v>31</v>
      </c>
      <c r="I352" s="16">
        <v>2</v>
      </c>
      <c r="J352" s="16">
        <v>12</v>
      </c>
      <c r="K352" s="16">
        <f t="shared" si="6"/>
        <v>14</v>
      </c>
      <c r="L352" s="36">
        <v>25000000</v>
      </c>
      <c r="M352" s="17" t="s">
        <v>904</v>
      </c>
      <c r="N352" s="35">
        <v>15</v>
      </c>
      <c r="O352" s="16" t="s">
        <v>83</v>
      </c>
      <c r="P352" s="18">
        <v>11250000</v>
      </c>
      <c r="Q352" s="17" t="s">
        <v>159</v>
      </c>
      <c r="R352" s="48">
        <v>13</v>
      </c>
      <c r="S352" s="16" t="s">
        <v>83</v>
      </c>
      <c r="T352" s="36">
        <v>3500000</v>
      </c>
      <c r="U352" s="20" t="s">
        <v>22</v>
      </c>
      <c r="V352" s="16">
        <v>0</v>
      </c>
      <c r="W352" s="16">
        <v>0</v>
      </c>
      <c r="X352" s="16">
        <v>0</v>
      </c>
      <c r="Y352" s="16">
        <v>65</v>
      </c>
      <c r="Z352" s="16">
        <v>35</v>
      </c>
      <c r="AA352" s="16">
        <v>0</v>
      </c>
      <c r="AB352" s="16">
        <v>0</v>
      </c>
      <c r="AC352" s="16"/>
      <c r="AD352" s="22"/>
      <c r="AE352" s="23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</row>
    <row r="353" spans="1:84" s="2" customFormat="1" x14ac:dyDescent="0.2">
      <c r="A353" s="17" t="s">
        <v>3921</v>
      </c>
      <c r="B353" s="17" t="s">
        <v>45</v>
      </c>
      <c r="C353" s="17">
        <v>2025</v>
      </c>
      <c r="D353" s="17" t="str">
        <f t="array" ref="D353">_xlfn.SWITCH(E353,"Jatikalen","35.18.20","Kertosono", "35.18.08","Lengkong","35.18.19","Loceret","35.18.04","Tanjunganom","35.18.11","Wilangan","35.18.15")</f>
        <v>35.18.11</v>
      </c>
      <c r="E353" s="16" t="s">
        <v>60</v>
      </c>
      <c r="F353" s="17" t="s">
        <v>59</v>
      </c>
      <c r="G353" s="17" t="s">
        <v>905</v>
      </c>
      <c r="H353" s="16" t="s">
        <v>31</v>
      </c>
      <c r="I353" s="16">
        <v>3</v>
      </c>
      <c r="J353" s="16">
        <v>1</v>
      </c>
      <c r="K353" s="16">
        <f t="shared" si="6"/>
        <v>4</v>
      </c>
      <c r="L353" s="36">
        <v>15000000</v>
      </c>
      <c r="M353" s="17" t="s">
        <v>172</v>
      </c>
      <c r="N353" s="35">
        <v>40</v>
      </c>
      <c r="O353" s="16" t="s">
        <v>83</v>
      </c>
      <c r="P353" s="18">
        <v>76000000</v>
      </c>
      <c r="Q353" s="17" t="s">
        <v>173</v>
      </c>
      <c r="R353" s="35">
        <v>16</v>
      </c>
      <c r="S353" s="16" t="s">
        <v>83</v>
      </c>
      <c r="T353" s="36">
        <v>34000000</v>
      </c>
      <c r="U353" s="20" t="s">
        <v>22</v>
      </c>
      <c r="V353" s="16" t="s">
        <v>50</v>
      </c>
      <c r="W353" s="16">
        <v>140</v>
      </c>
      <c r="X353" s="16" t="s">
        <v>51</v>
      </c>
      <c r="Y353" s="16">
        <v>100</v>
      </c>
      <c r="Z353" s="16">
        <v>0</v>
      </c>
      <c r="AA353" s="16">
        <v>0</v>
      </c>
      <c r="AB353" s="16">
        <v>0</v>
      </c>
      <c r="AC353" s="16"/>
      <c r="AD353" s="22"/>
      <c r="AE353" s="23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</row>
    <row r="354" spans="1:84" s="2" customFormat="1" x14ac:dyDescent="0.2">
      <c r="A354" s="17" t="s">
        <v>3921</v>
      </c>
      <c r="B354" s="17" t="s">
        <v>45</v>
      </c>
      <c r="C354" s="17">
        <v>2025</v>
      </c>
      <c r="D354" s="17" t="str">
        <f t="array" ref="D354">_xlfn.SWITCH(E354,"Jatikalen","35.18.20","Kertosono", "35.18.08","Lengkong","35.18.19","Loceret","35.18.04","Tanjunganom","35.18.11","Wilangan","35.18.15")</f>
        <v>35.18.11</v>
      </c>
      <c r="E354" s="16" t="s">
        <v>60</v>
      </c>
      <c r="F354" s="17" t="s">
        <v>59</v>
      </c>
      <c r="G354" s="17" t="s">
        <v>906</v>
      </c>
      <c r="H354" s="16" t="s">
        <v>31</v>
      </c>
      <c r="I354" s="16">
        <v>3</v>
      </c>
      <c r="J354" s="16">
        <v>2</v>
      </c>
      <c r="K354" s="16">
        <f t="shared" ref="K354:K417" si="7">J354+I354</f>
        <v>5</v>
      </c>
      <c r="L354" s="36">
        <v>15000000</v>
      </c>
      <c r="M354" s="17" t="s">
        <v>172</v>
      </c>
      <c r="N354" s="35">
        <v>35</v>
      </c>
      <c r="O354" s="16" t="s">
        <v>83</v>
      </c>
      <c r="P354" s="18">
        <v>70250000</v>
      </c>
      <c r="Q354" s="17" t="s">
        <v>173</v>
      </c>
      <c r="R354" s="35">
        <v>14</v>
      </c>
      <c r="S354" s="16" t="s">
        <v>83</v>
      </c>
      <c r="T354" s="36">
        <v>30000000</v>
      </c>
      <c r="U354" s="20" t="s">
        <v>22</v>
      </c>
      <c r="V354" s="16" t="s">
        <v>50</v>
      </c>
      <c r="W354" s="16">
        <v>120</v>
      </c>
      <c r="X354" s="16" t="s">
        <v>51</v>
      </c>
      <c r="Y354" s="16">
        <v>100</v>
      </c>
      <c r="Z354" s="16">
        <v>0</v>
      </c>
      <c r="AA354" s="16">
        <v>0</v>
      </c>
      <c r="AB354" s="16">
        <v>0</v>
      </c>
      <c r="AC354" s="16"/>
      <c r="AD354" s="22"/>
      <c r="AE354" s="23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</row>
    <row r="355" spans="1:84" s="2" customFormat="1" x14ac:dyDescent="0.2">
      <c r="A355" s="17" t="s">
        <v>3921</v>
      </c>
      <c r="B355" s="17" t="s">
        <v>45</v>
      </c>
      <c r="C355" s="17">
        <v>2025</v>
      </c>
      <c r="D355" s="17" t="str">
        <f t="array" ref="D355">_xlfn.SWITCH(E355,"Jatikalen","35.18.20","Kertosono", "35.18.08","Lengkong","35.18.19","Loceret","35.18.04","Tanjunganom","35.18.11","Wilangan","35.18.15")</f>
        <v>35.18.11</v>
      </c>
      <c r="E355" s="16" t="s">
        <v>60</v>
      </c>
      <c r="F355" s="17" t="s">
        <v>907</v>
      </c>
      <c r="G355" s="17" t="s">
        <v>908</v>
      </c>
      <c r="H355" s="16" t="s">
        <v>31</v>
      </c>
      <c r="I355" s="16">
        <v>13</v>
      </c>
      <c r="J355" s="16">
        <v>3</v>
      </c>
      <c r="K355" s="16">
        <f t="shared" si="7"/>
        <v>16</v>
      </c>
      <c r="L355" s="36">
        <v>25000000</v>
      </c>
      <c r="M355" s="17" t="s">
        <v>180</v>
      </c>
      <c r="N355" s="35" t="s">
        <v>909</v>
      </c>
      <c r="O355" s="16" t="s">
        <v>83</v>
      </c>
      <c r="P355" s="18">
        <v>36000000</v>
      </c>
      <c r="Q355" s="17" t="s">
        <v>159</v>
      </c>
      <c r="R355" s="35">
        <v>8</v>
      </c>
      <c r="S355" s="16" t="s">
        <v>83</v>
      </c>
      <c r="T355" s="36">
        <v>20000000</v>
      </c>
      <c r="U355" s="20" t="s">
        <v>22</v>
      </c>
      <c r="V355" s="16" t="s">
        <v>50</v>
      </c>
      <c r="W355" s="16">
        <v>80</v>
      </c>
      <c r="X355" s="16" t="s">
        <v>51</v>
      </c>
      <c r="Y355" s="16">
        <v>60</v>
      </c>
      <c r="Z355" s="16">
        <v>40</v>
      </c>
      <c r="AA355" s="16">
        <v>0</v>
      </c>
      <c r="AB355" s="16">
        <v>0</v>
      </c>
      <c r="AC355" s="16"/>
      <c r="AD355" s="22"/>
      <c r="AE355" s="23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</row>
    <row r="356" spans="1:84" s="2" customFormat="1" ht="20" x14ac:dyDescent="0.2">
      <c r="A356" s="17" t="s">
        <v>3921</v>
      </c>
      <c r="B356" s="17" t="s">
        <v>45</v>
      </c>
      <c r="C356" s="17">
        <v>2025</v>
      </c>
      <c r="D356" s="17" t="str">
        <f t="array" ref="D356">_xlfn.SWITCH(E356,"Jatikalen","35.18.20","Kertosono", "35.18.08","Lengkong","35.18.19","Loceret","35.18.04","Tanjunganom","35.18.11","Wilangan","35.18.15")</f>
        <v>35.18.08</v>
      </c>
      <c r="E356" s="16" t="s">
        <v>128</v>
      </c>
      <c r="F356" s="33" t="s">
        <v>910</v>
      </c>
      <c r="G356" s="33" t="s">
        <v>911</v>
      </c>
      <c r="H356" s="16" t="s">
        <v>31</v>
      </c>
      <c r="I356" s="16">
        <v>1</v>
      </c>
      <c r="J356" s="16">
        <v>14</v>
      </c>
      <c r="K356" s="16">
        <f t="shared" si="7"/>
        <v>15</v>
      </c>
      <c r="L356" s="18">
        <v>30000000</v>
      </c>
      <c r="M356" s="17" t="s">
        <v>904</v>
      </c>
      <c r="N356" s="18">
        <v>60000</v>
      </c>
      <c r="O356" s="16" t="s">
        <v>49</v>
      </c>
      <c r="P356" s="30">
        <v>20000000</v>
      </c>
      <c r="Q356" s="17" t="s">
        <v>159</v>
      </c>
      <c r="R356" s="18">
        <v>10</v>
      </c>
      <c r="S356" s="16" t="s">
        <v>83</v>
      </c>
      <c r="T356" s="30">
        <v>6100000</v>
      </c>
      <c r="U356" s="20" t="s">
        <v>22</v>
      </c>
      <c r="V356" s="16">
        <v>0</v>
      </c>
      <c r="W356" s="16">
        <v>0</v>
      </c>
      <c r="X356" s="16">
        <v>0</v>
      </c>
      <c r="Y356" s="16">
        <v>70</v>
      </c>
      <c r="Z356" s="16">
        <v>30</v>
      </c>
      <c r="AA356" s="16">
        <v>0</v>
      </c>
      <c r="AB356" s="16">
        <v>0</v>
      </c>
      <c r="AC356" s="16" t="s">
        <v>912</v>
      </c>
      <c r="AD356" s="22">
        <v>39644</v>
      </c>
      <c r="AE356" s="23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</row>
    <row r="357" spans="1:84" s="2" customFormat="1" x14ac:dyDescent="0.2">
      <c r="A357" s="17" t="s">
        <v>3921</v>
      </c>
      <c r="B357" s="17" t="s">
        <v>45</v>
      </c>
      <c r="C357" s="17">
        <v>2025</v>
      </c>
      <c r="D357" s="17" t="str">
        <f t="array" ref="D357">_xlfn.SWITCH(E357,"Bagor","35.18.14","Sukomoro",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57" s="16" t="s">
        <v>71</v>
      </c>
      <c r="F357" s="33" t="s">
        <v>913</v>
      </c>
      <c r="G357" s="33" t="s">
        <v>914</v>
      </c>
      <c r="H357" s="16" t="s">
        <v>31</v>
      </c>
      <c r="I357" s="16">
        <v>3</v>
      </c>
      <c r="J357" s="16">
        <v>1</v>
      </c>
      <c r="K357" s="16">
        <f t="shared" si="7"/>
        <v>4</v>
      </c>
      <c r="L357" s="18">
        <v>25000000</v>
      </c>
      <c r="M357" s="17" t="s">
        <v>354</v>
      </c>
      <c r="N357" s="18">
        <v>3000</v>
      </c>
      <c r="O357" s="16" t="s">
        <v>422</v>
      </c>
      <c r="P357" s="30">
        <v>975000000</v>
      </c>
      <c r="Q357" s="17" t="s">
        <v>915</v>
      </c>
      <c r="R357" s="18">
        <v>150</v>
      </c>
      <c r="S357" s="16" t="s">
        <v>83</v>
      </c>
      <c r="T357" s="30">
        <v>320000000</v>
      </c>
      <c r="U357" s="20" t="s">
        <v>22</v>
      </c>
      <c r="V357" s="16" t="s">
        <v>50</v>
      </c>
      <c r="W357" s="16">
        <v>600</v>
      </c>
      <c r="X357" s="16" t="s">
        <v>51</v>
      </c>
      <c r="Y357" s="16">
        <v>60</v>
      </c>
      <c r="Z357" s="16">
        <v>40</v>
      </c>
      <c r="AA357" s="16">
        <v>0</v>
      </c>
      <c r="AB357" s="16">
        <v>0</v>
      </c>
      <c r="AC357" s="16"/>
      <c r="AD357" s="22"/>
      <c r="AE357" s="23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</row>
    <row r="358" spans="1:84" s="2" customFormat="1" x14ac:dyDescent="0.2">
      <c r="A358" s="17" t="s">
        <v>3921</v>
      </c>
      <c r="B358" s="17" t="s">
        <v>45</v>
      </c>
      <c r="C358" s="17">
        <v>2025</v>
      </c>
      <c r="D358" s="17" t="str">
        <f t="array" ref="D358">_xlfn.SWITCH(E358,"Bagor","35.18.14","Sukomoro",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58" s="16" t="s">
        <v>71</v>
      </c>
      <c r="F358" s="33" t="s">
        <v>71</v>
      </c>
      <c r="G358" s="33" t="s">
        <v>916</v>
      </c>
      <c r="H358" s="16" t="s">
        <v>47</v>
      </c>
      <c r="I358" s="16">
        <v>1</v>
      </c>
      <c r="J358" s="16">
        <v>4</v>
      </c>
      <c r="K358" s="16">
        <f t="shared" si="7"/>
        <v>5</v>
      </c>
      <c r="L358" s="18">
        <v>190000000</v>
      </c>
      <c r="M358" s="17" t="s">
        <v>354</v>
      </c>
      <c r="N358" s="18">
        <v>2800</v>
      </c>
      <c r="O358" s="16" t="s">
        <v>422</v>
      </c>
      <c r="P358" s="30">
        <v>900000000</v>
      </c>
      <c r="Q358" s="17" t="s">
        <v>915</v>
      </c>
      <c r="R358" s="18">
        <v>140</v>
      </c>
      <c r="S358" s="16" t="s">
        <v>83</v>
      </c>
      <c r="T358" s="30">
        <v>300000000</v>
      </c>
      <c r="U358" s="20" t="s">
        <v>22</v>
      </c>
      <c r="V358" s="16" t="s">
        <v>50</v>
      </c>
      <c r="W358" s="16">
        <v>600</v>
      </c>
      <c r="X358" s="16" t="s">
        <v>51</v>
      </c>
      <c r="Y358" s="16">
        <v>55</v>
      </c>
      <c r="Z358" s="16">
        <v>45</v>
      </c>
      <c r="AA358" s="16">
        <v>0</v>
      </c>
      <c r="AB358" s="16">
        <v>0</v>
      </c>
      <c r="AC358" s="16" t="s">
        <v>917</v>
      </c>
      <c r="AD358" s="22">
        <v>39629</v>
      </c>
      <c r="AE358" s="23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</row>
    <row r="359" spans="1:84" s="2" customFormat="1" x14ac:dyDescent="0.2">
      <c r="A359" s="17" t="s">
        <v>3921</v>
      </c>
      <c r="B359" s="17" t="s">
        <v>45</v>
      </c>
      <c r="C359" s="17">
        <v>2025</v>
      </c>
      <c r="D359" s="17" t="str">
        <f t="array" ref="D359">_xlfn.SWITCH(E359,"Bagor","35.18.14","Sukomoro",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59" s="16" t="s">
        <v>92</v>
      </c>
      <c r="F359" s="33" t="s">
        <v>918</v>
      </c>
      <c r="G359" s="33" t="s">
        <v>919</v>
      </c>
      <c r="H359" s="16" t="s">
        <v>47</v>
      </c>
      <c r="I359" s="16">
        <v>0</v>
      </c>
      <c r="J359" s="16">
        <v>5</v>
      </c>
      <c r="K359" s="16">
        <f t="shared" si="7"/>
        <v>5</v>
      </c>
      <c r="L359" s="18">
        <v>200000000</v>
      </c>
      <c r="M359" s="17" t="s">
        <v>108</v>
      </c>
      <c r="N359" s="18">
        <v>200</v>
      </c>
      <c r="O359" s="16" t="s">
        <v>49</v>
      </c>
      <c r="P359" s="30">
        <v>210000000</v>
      </c>
      <c r="Q359" s="17" t="s">
        <v>57</v>
      </c>
      <c r="R359" s="18">
        <v>40</v>
      </c>
      <c r="S359" s="16" t="s">
        <v>51</v>
      </c>
      <c r="T359" s="30">
        <v>54000000</v>
      </c>
      <c r="U359" s="20" t="s">
        <v>22</v>
      </c>
      <c r="V359" s="16" t="s">
        <v>52</v>
      </c>
      <c r="W359" s="16">
        <v>400</v>
      </c>
      <c r="X359" s="16" t="s">
        <v>53</v>
      </c>
      <c r="Y359" s="16">
        <v>70</v>
      </c>
      <c r="Z359" s="16">
        <v>30</v>
      </c>
      <c r="AA359" s="16">
        <v>0</v>
      </c>
      <c r="AB359" s="16">
        <v>0</v>
      </c>
      <c r="AC359" s="16"/>
      <c r="AD359" s="22"/>
      <c r="AE359" s="23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</row>
    <row r="360" spans="1:84" s="2" customFormat="1" x14ac:dyDescent="0.2">
      <c r="A360" s="17" t="s">
        <v>3921</v>
      </c>
      <c r="B360" s="17" t="s">
        <v>45</v>
      </c>
      <c r="C360" s="17">
        <v>2025</v>
      </c>
      <c r="D360" s="17" t="str">
        <f t="array" ref="D360">_xlfn.SWITCH(E360,"Bagor","35.18.14","Sukomoro",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60" s="16" t="s">
        <v>92</v>
      </c>
      <c r="F360" s="33" t="s">
        <v>874</v>
      </c>
      <c r="G360" s="33" t="s">
        <v>920</v>
      </c>
      <c r="H360" s="16" t="s">
        <v>31</v>
      </c>
      <c r="I360" s="16">
        <v>0</v>
      </c>
      <c r="J360" s="16">
        <v>5</v>
      </c>
      <c r="K360" s="16">
        <f t="shared" si="7"/>
        <v>5</v>
      </c>
      <c r="L360" s="18">
        <f>387000000-11500000</f>
        <v>375500000</v>
      </c>
      <c r="M360" s="17" t="s">
        <v>108</v>
      </c>
      <c r="N360" s="18">
        <v>500</v>
      </c>
      <c r="O360" s="16" t="s">
        <v>49</v>
      </c>
      <c r="P360" s="30">
        <v>250000000</v>
      </c>
      <c r="Q360" s="17" t="s">
        <v>57</v>
      </c>
      <c r="R360" s="18">
        <v>60</v>
      </c>
      <c r="S360" s="16" t="s">
        <v>51</v>
      </c>
      <c r="T360" s="30">
        <v>63000000</v>
      </c>
      <c r="U360" s="20" t="s">
        <v>22</v>
      </c>
      <c r="V360" s="16" t="s">
        <v>52</v>
      </c>
      <c r="W360" s="16">
        <v>600</v>
      </c>
      <c r="X360" s="16" t="s">
        <v>53</v>
      </c>
      <c r="Y360" s="16">
        <v>75</v>
      </c>
      <c r="Z360" s="16">
        <v>25</v>
      </c>
      <c r="AA360" s="16">
        <v>0</v>
      </c>
      <c r="AB360" s="16">
        <v>0</v>
      </c>
      <c r="AC360" s="16" t="s">
        <v>921</v>
      </c>
      <c r="AD360" s="22">
        <v>39658</v>
      </c>
      <c r="AE360" s="23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</row>
    <row r="361" spans="1:84" s="2" customFormat="1" x14ac:dyDescent="0.2">
      <c r="A361" s="17" t="s">
        <v>3921</v>
      </c>
      <c r="B361" s="17" t="s">
        <v>45</v>
      </c>
      <c r="C361" s="17">
        <v>2025</v>
      </c>
      <c r="D361" s="17" t="str">
        <f t="array" ref="D361">_xlfn.SWITCH(E361,"Jatikalen","35.18.20","Kertosono", "35.18.08","Lengkong","35.18.19","Loceret","35.18.04","Tanjunganom","35.18.11","Wilangan","35.18.15")</f>
        <v>35.18.19</v>
      </c>
      <c r="E361" s="16" t="s">
        <v>64</v>
      </c>
      <c r="F361" s="33" t="s">
        <v>922</v>
      </c>
      <c r="G361" s="33" t="s">
        <v>923</v>
      </c>
      <c r="H361" s="16" t="s">
        <v>31</v>
      </c>
      <c r="I361" s="16">
        <v>4</v>
      </c>
      <c r="J361" s="16">
        <v>2</v>
      </c>
      <c r="K361" s="16">
        <f t="shared" si="7"/>
        <v>6</v>
      </c>
      <c r="L361" s="18">
        <v>55000000</v>
      </c>
      <c r="M361" s="17" t="s">
        <v>337</v>
      </c>
      <c r="N361" s="18">
        <v>30000</v>
      </c>
      <c r="O361" s="16" t="s">
        <v>143</v>
      </c>
      <c r="P361" s="30">
        <v>157000000</v>
      </c>
      <c r="Q361" s="17" t="s">
        <v>924</v>
      </c>
      <c r="R361" s="18">
        <v>12</v>
      </c>
      <c r="S361" s="16" t="s">
        <v>83</v>
      </c>
      <c r="T361" s="30">
        <v>73000000</v>
      </c>
      <c r="U361" s="20" t="s">
        <v>22</v>
      </c>
      <c r="V361" s="16">
        <v>0</v>
      </c>
      <c r="W361" s="16">
        <v>0</v>
      </c>
      <c r="X361" s="16">
        <v>0</v>
      </c>
      <c r="Y361" s="16">
        <v>50</v>
      </c>
      <c r="Z361" s="16">
        <v>50</v>
      </c>
      <c r="AA361" s="16">
        <v>0</v>
      </c>
      <c r="AB361" s="16">
        <v>0</v>
      </c>
      <c r="AC361" s="16"/>
      <c r="AD361" s="22"/>
      <c r="AE361" s="23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</row>
    <row r="362" spans="1:84" s="2" customFormat="1" x14ac:dyDescent="0.2">
      <c r="A362" s="17" t="s">
        <v>3921</v>
      </c>
      <c r="B362" s="17" t="s">
        <v>45</v>
      </c>
      <c r="C362" s="17">
        <v>2025</v>
      </c>
      <c r="D362" s="17" t="str">
        <f t="array" ref="D362">_xlfn.SWITCH(E362,"Bagor","35.18.14","Sukomoro",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362" s="16" t="s">
        <v>29</v>
      </c>
      <c r="F362" s="33" t="s">
        <v>37</v>
      </c>
      <c r="G362" s="33" t="s">
        <v>925</v>
      </c>
      <c r="H362" s="16" t="s">
        <v>31</v>
      </c>
      <c r="I362" s="16">
        <v>1</v>
      </c>
      <c r="J362" s="16">
        <v>3</v>
      </c>
      <c r="K362" s="16">
        <f t="shared" si="7"/>
        <v>4</v>
      </c>
      <c r="L362" s="18">
        <v>50000000</v>
      </c>
      <c r="M362" s="17" t="s">
        <v>32</v>
      </c>
      <c r="N362" s="18">
        <v>1000000</v>
      </c>
      <c r="O362" s="16" t="s">
        <v>33</v>
      </c>
      <c r="P362" s="30">
        <f>N362*250</f>
        <v>250000000</v>
      </c>
      <c r="Q362" s="17" t="s">
        <v>34</v>
      </c>
      <c r="R362" s="18">
        <v>100</v>
      </c>
      <c r="S362" s="16" t="s">
        <v>35</v>
      </c>
      <c r="T362" s="30">
        <v>98325600</v>
      </c>
      <c r="U362" s="20" t="s">
        <v>22</v>
      </c>
      <c r="V362" s="16">
        <v>0</v>
      </c>
      <c r="W362" s="16">
        <v>0</v>
      </c>
      <c r="X362" s="16">
        <v>0</v>
      </c>
      <c r="Y362" s="16">
        <v>30</v>
      </c>
      <c r="Z362" s="16">
        <v>35</v>
      </c>
      <c r="AA362" s="16">
        <v>35</v>
      </c>
      <c r="AB362" s="16">
        <v>0</v>
      </c>
      <c r="AC362" s="26" t="s">
        <v>926</v>
      </c>
      <c r="AD362" s="27" t="s">
        <v>927</v>
      </c>
      <c r="AE362" s="23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</row>
    <row r="363" spans="1:84" s="2" customFormat="1" x14ac:dyDescent="0.2">
      <c r="A363" s="17" t="s">
        <v>3921</v>
      </c>
      <c r="B363" s="17" t="s">
        <v>45</v>
      </c>
      <c r="C363" s="17">
        <v>2025</v>
      </c>
      <c r="D363" s="17" t="str">
        <f t="array" ref="D363">_xlfn.SWITCH(E363,"Bagor","35.18.14","Sukomoro",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63" s="16" t="s">
        <v>45</v>
      </c>
      <c r="F363" s="33" t="s">
        <v>86</v>
      </c>
      <c r="G363" s="33" t="s">
        <v>928</v>
      </c>
      <c r="H363" s="16" t="s">
        <v>31</v>
      </c>
      <c r="I363" s="16">
        <v>4</v>
      </c>
      <c r="J363" s="16">
        <v>3</v>
      </c>
      <c r="K363" s="16">
        <f t="shared" si="7"/>
        <v>7</v>
      </c>
      <c r="L363" s="18">
        <v>200000000</v>
      </c>
      <c r="M363" s="17" t="s">
        <v>444</v>
      </c>
      <c r="N363" s="18">
        <v>550</v>
      </c>
      <c r="O363" s="16" t="s">
        <v>447</v>
      </c>
      <c r="P363" s="30">
        <v>150000000</v>
      </c>
      <c r="Q363" s="17" t="s">
        <v>446</v>
      </c>
      <c r="R363" s="18">
        <v>560</v>
      </c>
      <c r="S363" s="16" t="s">
        <v>447</v>
      </c>
      <c r="T363" s="30">
        <v>70000000</v>
      </c>
      <c r="U363" s="20" t="s">
        <v>22</v>
      </c>
      <c r="V363" s="16">
        <v>0</v>
      </c>
      <c r="W363" s="16">
        <v>0</v>
      </c>
      <c r="X363" s="16">
        <v>0</v>
      </c>
      <c r="Y363" s="16">
        <v>80</v>
      </c>
      <c r="Z363" s="16">
        <v>20</v>
      </c>
      <c r="AA363" s="16">
        <v>0</v>
      </c>
      <c r="AB363" s="16">
        <v>0</v>
      </c>
      <c r="AC363" s="16"/>
      <c r="AD363" s="22"/>
      <c r="AE363" s="23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</row>
    <row r="364" spans="1:84" s="2" customFormat="1" x14ac:dyDescent="0.2">
      <c r="A364" s="17" t="s">
        <v>3921</v>
      </c>
      <c r="B364" s="17" t="s">
        <v>45</v>
      </c>
      <c r="C364" s="17">
        <v>2025</v>
      </c>
      <c r="D364" s="17" t="str">
        <f t="array" ref="D364">_xlfn.SWITCH(E364,"Jatikalen","35.18.20","Kertosono", "35.18.08","Lengkong","35.18.19","Loceret","35.18.04","Tanjunganom","35.18.11","Wilangan","35.18.15")</f>
        <v>35.18.11</v>
      </c>
      <c r="E364" s="16" t="s">
        <v>60</v>
      </c>
      <c r="F364" s="33" t="s">
        <v>890</v>
      </c>
      <c r="G364" s="33" t="s">
        <v>929</v>
      </c>
      <c r="H364" s="16" t="s">
        <v>31</v>
      </c>
      <c r="I364" s="16">
        <v>0</v>
      </c>
      <c r="J364" s="16">
        <v>4</v>
      </c>
      <c r="K364" s="16">
        <f t="shared" si="7"/>
        <v>4</v>
      </c>
      <c r="L364" s="18">
        <v>125000000</v>
      </c>
      <c r="M364" s="17" t="s">
        <v>100</v>
      </c>
      <c r="N364" s="18">
        <v>300</v>
      </c>
      <c r="O364" s="16" t="s">
        <v>95</v>
      </c>
      <c r="P364" s="30">
        <v>700000000</v>
      </c>
      <c r="Q364" s="17" t="s">
        <v>930</v>
      </c>
      <c r="R364" s="52" t="s">
        <v>931</v>
      </c>
      <c r="S364" s="16" t="s">
        <v>932</v>
      </c>
      <c r="T364" s="30">
        <v>250000000</v>
      </c>
      <c r="U364" s="20" t="s">
        <v>22</v>
      </c>
      <c r="V364" s="16">
        <v>0</v>
      </c>
      <c r="W364" s="16">
        <v>0</v>
      </c>
      <c r="X364" s="16">
        <v>0</v>
      </c>
      <c r="Y364" s="16">
        <v>100</v>
      </c>
      <c r="Z364" s="16">
        <v>0</v>
      </c>
      <c r="AA364" s="16">
        <v>0</v>
      </c>
      <c r="AB364" s="16">
        <v>0</v>
      </c>
      <c r="AC364" s="16"/>
      <c r="AD364" s="22"/>
      <c r="AE364" s="23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</row>
    <row r="365" spans="1:84" s="2" customFormat="1" x14ac:dyDescent="0.2">
      <c r="A365" s="17" t="s">
        <v>3921</v>
      </c>
      <c r="B365" s="17" t="s">
        <v>45</v>
      </c>
      <c r="C365" s="17">
        <v>2025</v>
      </c>
      <c r="D365" s="17" t="str">
        <f t="array" ref="D365">_xlfn.SWITCH(E365,"Jatikalen","35.18.20","Kertosono", "35.18.08","Lengkong","35.18.19","Loceret","35.18.04","Tanjunganom","35.18.11","Wilangan","35.18.15")</f>
        <v>35.18.08</v>
      </c>
      <c r="E365" s="16" t="s">
        <v>128</v>
      </c>
      <c r="F365" s="33" t="s">
        <v>933</v>
      </c>
      <c r="G365" s="33" t="s">
        <v>934</v>
      </c>
      <c r="H365" s="16" t="s">
        <v>31</v>
      </c>
      <c r="I365" s="16">
        <v>1</v>
      </c>
      <c r="J365" s="16">
        <v>4</v>
      </c>
      <c r="K365" s="16">
        <f t="shared" si="7"/>
        <v>5</v>
      </c>
      <c r="L365" s="18">
        <v>287000000</v>
      </c>
      <c r="M365" s="17" t="s">
        <v>554</v>
      </c>
      <c r="N365" s="18">
        <v>950</v>
      </c>
      <c r="O365" s="16" t="s">
        <v>49</v>
      </c>
      <c r="P365" s="30">
        <v>180000000</v>
      </c>
      <c r="Q365" s="17" t="s">
        <v>935</v>
      </c>
      <c r="R365" s="18">
        <v>800</v>
      </c>
      <c r="S365" s="16" t="s">
        <v>33</v>
      </c>
      <c r="T365" s="30">
        <v>65000000</v>
      </c>
      <c r="U365" s="20" t="s">
        <v>22</v>
      </c>
      <c r="V365" s="16">
        <v>0</v>
      </c>
      <c r="W365" s="16">
        <v>0</v>
      </c>
      <c r="X365" s="16">
        <v>0</v>
      </c>
      <c r="Y365" s="16">
        <v>80</v>
      </c>
      <c r="Z365" s="16">
        <v>20</v>
      </c>
      <c r="AA365" s="16">
        <v>0</v>
      </c>
      <c r="AB365" s="16">
        <v>0</v>
      </c>
      <c r="AC365" s="16"/>
      <c r="AD365" s="22"/>
      <c r="AE365" s="23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</row>
    <row r="366" spans="1:84" s="2" customFormat="1" x14ac:dyDescent="0.2">
      <c r="A366" s="17" t="s">
        <v>3921</v>
      </c>
      <c r="B366" s="17" t="s">
        <v>45</v>
      </c>
      <c r="C366" s="17">
        <v>2025</v>
      </c>
      <c r="D366" s="17" t="str">
        <f t="array" ref="D366">_xlfn.SWITCH(E366,"Jatikalen","35.18.20","Kertosono", "35.18.08","Lengkong","35.18.19","Loceret","35.18.04","Tanjunganom","35.18.11","Wilangan","35.18.15")</f>
        <v>35.18.08</v>
      </c>
      <c r="E366" s="16" t="s">
        <v>128</v>
      </c>
      <c r="F366" s="33" t="s">
        <v>671</v>
      </c>
      <c r="G366" s="33" t="s">
        <v>936</v>
      </c>
      <c r="H366" s="16" t="s">
        <v>81</v>
      </c>
      <c r="I366" s="16">
        <v>2</v>
      </c>
      <c r="J366" s="16">
        <v>15</v>
      </c>
      <c r="K366" s="16">
        <f t="shared" si="7"/>
        <v>17</v>
      </c>
      <c r="L366" s="18">
        <v>48000000</v>
      </c>
      <c r="M366" s="17" t="s">
        <v>937</v>
      </c>
      <c r="N366" s="18">
        <v>1350</v>
      </c>
      <c r="O366" s="16" t="s">
        <v>49</v>
      </c>
      <c r="P366" s="30">
        <v>60600000</v>
      </c>
      <c r="Q366" s="17" t="s">
        <v>938</v>
      </c>
      <c r="R366" s="18">
        <v>28</v>
      </c>
      <c r="S366" s="16" t="s">
        <v>51</v>
      </c>
      <c r="T366" s="30">
        <v>21200000</v>
      </c>
      <c r="U366" s="20" t="s">
        <v>22</v>
      </c>
      <c r="V366" s="16">
        <v>0</v>
      </c>
      <c r="W366" s="16">
        <v>0</v>
      </c>
      <c r="X366" s="16">
        <v>0</v>
      </c>
      <c r="Y366" s="16">
        <v>65</v>
      </c>
      <c r="Z366" s="16">
        <v>35</v>
      </c>
      <c r="AA366" s="16">
        <v>0</v>
      </c>
      <c r="AB366" s="16">
        <v>0</v>
      </c>
      <c r="AC366" s="16"/>
      <c r="AD366" s="22"/>
      <c r="AE366" s="23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</row>
    <row r="367" spans="1:84" s="2" customFormat="1" x14ac:dyDescent="0.2">
      <c r="A367" s="17" t="s">
        <v>3921</v>
      </c>
      <c r="B367" s="17" t="s">
        <v>45</v>
      </c>
      <c r="C367" s="17">
        <v>2025</v>
      </c>
      <c r="D367" s="17" t="str">
        <f t="array" ref="D367">_xlfn.SWITCH(E367,"Bagor","35.18.14","Sukomoro",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367" s="16" t="s">
        <v>103</v>
      </c>
      <c r="F367" s="33" t="s">
        <v>209</v>
      </c>
      <c r="G367" s="33" t="s">
        <v>210</v>
      </c>
      <c r="H367" s="16" t="s">
        <v>31</v>
      </c>
      <c r="I367" s="16">
        <v>1</v>
      </c>
      <c r="J367" s="16">
        <v>13</v>
      </c>
      <c r="K367" s="16">
        <f t="shared" si="7"/>
        <v>14</v>
      </c>
      <c r="L367" s="18">
        <v>27500000</v>
      </c>
      <c r="M367" s="17" t="s">
        <v>72</v>
      </c>
      <c r="N367" s="18">
        <v>30</v>
      </c>
      <c r="O367" s="16" t="s">
        <v>51</v>
      </c>
      <c r="P367" s="30">
        <v>1350000000</v>
      </c>
      <c r="Q367" s="17" t="s">
        <v>212</v>
      </c>
      <c r="R367" s="18">
        <v>50</v>
      </c>
      <c r="S367" s="16" t="s">
        <v>51</v>
      </c>
      <c r="T367" s="30">
        <v>450000000</v>
      </c>
      <c r="U367" s="20" t="s">
        <v>22</v>
      </c>
      <c r="V367" s="16">
        <v>0</v>
      </c>
      <c r="W367" s="16">
        <v>0</v>
      </c>
      <c r="X367" s="16">
        <v>0</v>
      </c>
      <c r="Y367" s="16">
        <v>100</v>
      </c>
      <c r="Z367" s="16">
        <v>0</v>
      </c>
      <c r="AA367" s="16">
        <v>0</v>
      </c>
      <c r="AB367" s="16">
        <v>0</v>
      </c>
      <c r="AC367" s="16"/>
      <c r="AD367" s="22"/>
      <c r="AE367" s="23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</row>
    <row r="368" spans="1:84" s="2" customFormat="1" x14ac:dyDescent="0.2">
      <c r="A368" s="17" t="s">
        <v>3921</v>
      </c>
      <c r="B368" s="17" t="s">
        <v>45</v>
      </c>
      <c r="C368" s="17">
        <v>2025</v>
      </c>
      <c r="D368" s="17" t="str">
        <f t="array" ref="D368">_xlfn.SWITCH(E368,"Jatikalen","35.18.20","Kertosono", "35.18.08","Lengkong","35.18.19","Loceret","35.18.04","Tanjunganom","35.18.11","Wilangan","35.18.15")</f>
        <v>35.18.04</v>
      </c>
      <c r="E368" s="16" t="s">
        <v>41</v>
      </c>
      <c r="F368" s="33" t="s">
        <v>757</v>
      </c>
      <c r="G368" s="33" t="s">
        <v>939</v>
      </c>
      <c r="H368" s="16" t="s">
        <v>31</v>
      </c>
      <c r="I368" s="16">
        <v>8</v>
      </c>
      <c r="J368" s="16">
        <v>2</v>
      </c>
      <c r="K368" s="16">
        <f t="shared" si="7"/>
        <v>10</v>
      </c>
      <c r="L368" s="18">
        <v>26500000</v>
      </c>
      <c r="M368" s="17" t="s">
        <v>467</v>
      </c>
      <c r="N368" s="18">
        <v>12000</v>
      </c>
      <c r="O368" s="16" t="s">
        <v>143</v>
      </c>
      <c r="P368" s="30">
        <v>84000000</v>
      </c>
      <c r="Q368" s="17" t="s">
        <v>940</v>
      </c>
      <c r="R368" s="52" t="s">
        <v>941</v>
      </c>
      <c r="S368" s="16" t="s">
        <v>83</v>
      </c>
      <c r="T368" s="30">
        <v>20000000</v>
      </c>
      <c r="U368" s="20" t="s">
        <v>22</v>
      </c>
      <c r="V368" s="16">
        <v>0</v>
      </c>
      <c r="W368" s="16">
        <v>0</v>
      </c>
      <c r="X368" s="16">
        <v>0</v>
      </c>
      <c r="Y368" s="16">
        <v>65</v>
      </c>
      <c r="Z368" s="16">
        <v>35</v>
      </c>
      <c r="AA368" s="16">
        <v>0</v>
      </c>
      <c r="AB368" s="16">
        <v>0</v>
      </c>
      <c r="AC368" s="16"/>
      <c r="AD368" s="22"/>
      <c r="AE368" s="23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</row>
    <row r="369" spans="1:84" s="2" customFormat="1" x14ac:dyDescent="0.2">
      <c r="A369" s="17" t="s">
        <v>3921</v>
      </c>
      <c r="B369" s="17" t="s">
        <v>45</v>
      </c>
      <c r="C369" s="17">
        <v>2025</v>
      </c>
      <c r="D369" s="17" t="str">
        <f t="array" ref="D369">_xlfn.SWITCH(E369,"Jatikalen","35.18.20","Kertosono", "35.18.08","Lengkong","35.18.19","Loceret","35.18.04","Tanjunganom","35.18.11","Wilangan","35.18.15")</f>
        <v>35.18.19</v>
      </c>
      <c r="E369" s="16" t="s">
        <v>64</v>
      </c>
      <c r="F369" s="33" t="s">
        <v>942</v>
      </c>
      <c r="G369" s="33" t="s">
        <v>943</v>
      </c>
      <c r="H369" s="16" t="s">
        <v>31</v>
      </c>
      <c r="I369" s="16">
        <v>0</v>
      </c>
      <c r="J369" s="16">
        <v>7</v>
      </c>
      <c r="K369" s="16">
        <f t="shared" si="7"/>
        <v>7</v>
      </c>
      <c r="L369" s="18">
        <v>85500000</v>
      </c>
      <c r="M369" s="17" t="s">
        <v>72</v>
      </c>
      <c r="N369" s="18">
        <v>30</v>
      </c>
      <c r="O369" s="16" t="s">
        <v>51</v>
      </c>
      <c r="P369" s="30">
        <v>300000000</v>
      </c>
      <c r="Q369" s="17" t="s">
        <v>212</v>
      </c>
      <c r="R369" s="18">
        <v>80</v>
      </c>
      <c r="S369" s="16" t="s">
        <v>51</v>
      </c>
      <c r="T369" s="30">
        <v>100000000</v>
      </c>
      <c r="U369" s="20" t="s">
        <v>22</v>
      </c>
      <c r="V369" s="16">
        <v>0</v>
      </c>
      <c r="W369" s="16">
        <v>0</v>
      </c>
      <c r="X369" s="16">
        <v>0</v>
      </c>
      <c r="Y369" s="16">
        <v>60</v>
      </c>
      <c r="Z369" s="16">
        <v>40</v>
      </c>
      <c r="AA369" s="16">
        <v>0</v>
      </c>
      <c r="AB369" s="16">
        <v>0</v>
      </c>
      <c r="AC369" s="16"/>
      <c r="AD369" s="22"/>
      <c r="AE369" s="23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</row>
    <row r="370" spans="1:84" s="2" customFormat="1" x14ac:dyDescent="0.2">
      <c r="A370" s="17" t="s">
        <v>3921</v>
      </c>
      <c r="B370" s="17" t="s">
        <v>45</v>
      </c>
      <c r="C370" s="17">
        <v>2025</v>
      </c>
      <c r="D370" s="17" t="str">
        <f t="array" ref="D370">_xlfn.SWITCH(E370,"Bagor","35.18.14","Sukomoro",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70" s="16" t="s">
        <v>45</v>
      </c>
      <c r="F370" s="33" t="s">
        <v>944</v>
      </c>
      <c r="G370" s="33" t="s">
        <v>945</v>
      </c>
      <c r="H370" s="16" t="s">
        <v>31</v>
      </c>
      <c r="I370" s="16">
        <v>5</v>
      </c>
      <c r="J370" s="16">
        <v>1</v>
      </c>
      <c r="K370" s="16">
        <f t="shared" si="7"/>
        <v>6</v>
      </c>
      <c r="L370" s="18">
        <v>28000000</v>
      </c>
      <c r="M370" s="17" t="s">
        <v>467</v>
      </c>
      <c r="N370" s="18">
        <v>6000</v>
      </c>
      <c r="O370" s="16" t="s">
        <v>152</v>
      </c>
      <c r="P370" s="30">
        <v>138000000</v>
      </c>
      <c r="Q370" s="17" t="s">
        <v>946</v>
      </c>
      <c r="R370" s="18" t="s">
        <v>947</v>
      </c>
      <c r="S370" s="16" t="s">
        <v>35</v>
      </c>
      <c r="T370" s="30">
        <v>46000000</v>
      </c>
      <c r="U370" s="20" t="s">
        <v>22</v>
      </c>
      <c r="V370" s="16">
        <v>0</v>
      </c>
      <c r="W370" s="16">
        <v>0</v>
      </c>
      <c r="X370" s="16">
        <v>0</v>
      </c>
      <c r="Y370" s="16">
        <v>60</v>
      </c>
      <c r="Z370" s="16">
        <v>40</v>
      </c>
      <c r="AA370" s="16">
        <v>0</v>
      </c>
      <c r="AB370" s="16">
        <v>0</v>
      </c>
      <c r="AC370" s="16"/>
      <c r="AD370" s="22"/>
      <c r="AE370" s="23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</row>
    <row r="371" spans="1:84" s="2" customFormat="1" x14ac:dyDescent="0.2">
      <c r="A371" s="17" t="s">
        <v>3921</v>
      </c>
      <c r="B371" s="17" t="s">
        <v>45</v>
      </c>
      <c r="C371" s="17">
        <v>2025</v>
      </c>
      <c r="D371" s="17" t="str">
        <f t="array" ref="D371">_xlfn.SWITCH(E371,"Bagor","35.18.14","Sukomoro",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371" s="16" t="s">
        <v>140</v>
      </c>
      <c r="F371" s="33" t="s">
        <v>948</v>
      </c>
      <c r="G371" s="33" t="s">
        <v>949</v>
      </c>
      <c r="H371" s="16" t="s">
        <v>31</v>
      </c>
      <c r="I371" s="16">
        <v>23</v>
      </c>
      <c r="J371" s="16">
        <v>17</v>
      </c>
      <c r="K371" s="16">
        <f t="shared" si="7"/>
        <v>40</v>
      </c>
      <c r="L371" s="18">
        <v>156000000</v>
      </c>
      <c r="M371" s="17" t="s">
        <v>586</v>
      </c>
      <c r="N371" s="18">
        <v>400000</v>
      </c>
      <c r="O371" s="16" t="s">
        <v>33</v>
      </c>
      <c r="P371" s="30">
        <v>49700000000</v>
      </c>
      <c r="Q371" s="17" t="s">
        <v>950</v>
      </c>
      <c r="R371" s="18">
        <v>6000</v>
      </c>
      <c r="S371" s="16" t="s">
        <v>51</v>
      </c>
      <c r="T371" s="30">
        <v>23545000000</v>
      </c>
      <c r="U371" s="20" t="s">
        <v>22</v>
      </c>
      <c r="V371" s="16">
        <v>0</v>
      </c>
      <c r="W371" s="16">
        <v>0</v>
      </c>
      <c r="X371" s="16">
        <v>0</v>
      </c>
      <c r="Y371" s="16">
        <v>70</v>
      </c>
      <c r="Z371" s="16">
        <v>30</v>
      </c>
      <c r="AA371" s="16">
        <v>0</v>
      </c>
      <c r="AB371" s="16">
        <v>0</v>
      </c>
      <c r="AC371" s="16"/>
      <c r="AD371" s="22"/>
      <c r="AE371" s="23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</row>
    <row r="372" spans="1:84" s="2" customFormat="1" x14ac:dyDescent="0.2">
      <c r="A372" s="17" t="s">
        <v>3921</v>
      </c>
      <c r="B372" s="17" t="s">
        <v>45</v>
      </c>
      <c r="C372" s="17">
        <v>2025</v>
      </c>
      <c r="D372" s="17" t="str">
        <f t="array" ref="D372">_xlfn.SWITCH(E372,"Bagor","35.18.14","Sukomoro",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72" s="16" t="s">
        <v>45</v>
      </c>
      <c r="F372" s="33" t="s">
        <v>951</v>
      </c>
      <c r="G372" s="33" t="s">
        <v>952</v>
      </c>
      <c r="H372" s="16" t="s">
        <v>31</v>
      </c>
      <c r="I372" s="16">
        <v>33</v>
      </c>
      <c r="J372" s="16">
        <v>3</v>
      </c>
      <c r="K372" s="16">
        <f t="shared" si="7"/>
        <v>36</v>
      </c>
      <c r="L372" s="18">
        <v>32000000</v>
      </c>
      <c r="M372" s="17" t="s">
        <v>953</v>
      </c>
      <c r="N372" s="18">
        <v>20</v>
      </c>
      <c r="O372" s="16" t="s">
        <v>83</v>
      </c>
      <c r="P372" s="30">
        <v>99500000</v>
      </c>
      <c r="Q372" s="17" t="s">
        <v>954</v>
      </c>
      <c r="R372" s="18" t="s">
        <v>955</v>
      </c>
      <c r="S372" s="16" t="s">
        <v>35</v>
      </c>
      <c r="T372" s="30">
        <v>45000000</v>
      </c>
      <c r="U372" s="20" t="s">
        <v>22</v>
      </c>
      <c r="V372" s="16">
        <v>0</v>
      </c>
      <c r="W372" s="16">
        <v>0</v>
      </c>
      <c r="X372" s="16">
        <v>0</v>
      </c>
      <c r="Y372" s="16">
        <v>65</v>
      </c>
      <c r="Z372" s="16">
        <v>35</v>
      </c>
      <c r="AA372" s="16">
        <v>0</v>
      </c>
      <c r="AB372" s="16">
        <v>0</v>
      </c>
      <c r="AC372" s="16"/>
      <c r="AD372" s="22"/>
      <c r="AE372" s="23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</row>
    <row r="373" spans="1:84" s="2" customFormat="1" x14ac:dyDescent="0.2">
      <c r="A373" s="17" t="s">
        <v>3921</v>
      </c>
      <c r="B373" s="17" t="s">
        <v>45</v>
      </c>
      <c r="C373" s="17">
        <v>2025</v>
      </c>
      <c r="D373" s="17" t="str">
        <f t="array" ref="D373">_xlfn.SWITCH(E373,"Bagor","35.18.14","Sukomoro",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373" s="16" t="s">
        <v>149</v>
      </c>
      <c r="F373" s="33" t="s">
        <v>813</v>
      </c>
      <c r="G373" s="33" t="s">
        <v>644</v>
      </c>
      <c r="H373" s="16" t="s">
        <v>31</v>
      </c>
      <c r="I373" s="16">
        <v>4</v>
      </c>
      <c r="J373" s="16">
        <v>0</v>
      </c>
      <c r="K373" s="16">
        <f t="shared" si="7"/>
        <v>4</v>
      </c>
      <c r="L373" s="18">
        <v>9000000</v>
      </c>
      <c r="M373" s="17" t="s">
        <v>354</v>
      </c>
      <c r="N373" s="18">
        <v>100</v>
      </c>
      <c r="O373" s="16" t="s">
        <v>35</v>
      </c>
      <c r="P373" s="30">
        <v>50000000</v>
      </c>
      <c r="Q373" s="17" t="s">
        <v>956</v>
      </c>
      <c r="R373" s="18">
        <v>5</v>
      </c>
      <c r="S373" s="16" t="s">
        <v>83</v>
      </c>
      <c r="T373" s="30">
        <v>20000000</v>
      </c>
      <c r="U373" s="20" t="s">
        <v>22</v>
      </c>
      <c r="V373" s="16" t="s">
        <v>50</v>
      </c>
      <c r="W373" s="16">
        <v>50</v>
      </c>
      <c r="X373" s="16" t="s">
        <v>51</v>
      </c>
      <c r="Y373" s="16">
        <v>60</v>
      </c>
      <c r="Z373" s="16">
        <v>40</v>
      </c>
      <c r="AA373" s="16">
        <v>0</v>
      </c>
      <c r="AB373" s="16">
        <v>0</v>
      </c>
      <c r="AC373" s="16"/>
      <c r="AD373" s="22"/>
      <c r="AE373" s="23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</row>
    <row r="374" spans="1:84" s="2" customFormat="1" x14ac:dyDescent="0.2">
      <c r="A374" s="17" t="s">
        <v>3921</v>
      </c>
      <c r="B374" s="17" t="s">
        <v>45</v>
      </c>
      <c r="C374" s="17">
        <v>2025</v>
      </c>
      <c r="D374" s="17" t="str">
        <f t="array" ref="D374">_xlfn.SWITCH(E374,"Bagor","35.18.14","Sukomoro",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74" s="16" t="s">
        <v>114</v>
      </c>
      <c r="F374" s="33" t="s">
        <v>957</v>
      </c>
      <c r="G374" s="33" t="s">
        <v>958</v>
      </c>
      <c r="H374" s="16" t="s">
        <v>47</v>
      </c>
      <c r="I374" s="16">
        <v>1</v>
      </c>
      <c r="J374" s="16">
        <v>5</v>
      </c>
      <c r="K374" s="16">
        <f t="shared" si="7"/>
        <v>6</v>
      </c>
      <c r="L374" s="18">
        <v>53700000</v>
      </c>
      <c r="M374" s="17" t="s">
        <v>72</v>
      </c>
      <c r="N374" s="18">
        <v>85</v>
      </c>
      <c r="O374" s="16" t="s">
        <v>51</v>
      </c>
      <c r="P374" s="30">
        <v>75040980500</v>
      </c>
      <c r="Q374" s="17" t="s">
        <v>212</v>
      </c>
      <c r="R374" s="18">
        <v>100</v>
      </c>
      <c r="S374" s="16" t="s">
        <v>51</v>
      </c>
      <c r="T374" s="30">
        <v>35431496000</v>
      </c>
      <c r="U374" s="20" t="s">
        <v>22</v>
      </c>
      <c r="V374" s="16">
        <v>0</v>
      </c>
      <c r="W374" s="16">
        <v>0</v>
      </c>
      <c r="X374" s="16">
        <v>0</v>
      </c>
      <c r="Y374" s="16">
        <v>100</v>
      </c>
      <c r="Z374" s="16">
        <v>0</v>
      </c>
      <c r="AA374" s="16">
        <v>0</v>
      </c>
      <c r="AB374" s="16">
        <v>0</v>
      </c>
      <c r="AC374" s="16"/>
      <c r="AD374" s="22"/>
      <c r="AE374" s="23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</row>
    <row r="375" spans="1:84" s="2" customFormat="1" x14ac:dyDescent="0.2">
      <c r="A375" s="17" t="s">
        <v>3921</v>
      </c>
      <c r="B375" s="17" t="s">
        <v>45</v>
      </c>
      <c r="C375" s="17">
        <v>2025</v>
      </c>
      <c r="D375" s="17" t="str">
        <f t="array" ref="D375">_xlfn.SWITCH(E375,"Bagor","35.18.14","Sukomoro",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75" s="16" t="s">
        <v>71</v>
      </c>
      <c r="F375" s="33" t="s">
        <v>71</v>
      </c>
      <c r="G375" s="33" t="s">
        <v>959</v>
      </c>
      <c r="H375" s="16" t="s">
        <v>31</v>
      </c>
      <c r="I375" s="16">
        <v>12</v>
      </c>
      <c r="J375" s="16">
        <v>2</v>
      </c>
      <c r="K375" s="16">
        <f t="shared" si="7"/>
        <v>14</v>
      </c>
      <c r="L375" s="18">
        <v>120000000</v>
      </c>
      <c r="M375" s="17" t="s">
        <v>354</v>
      </c>
      <c r="N375" s="18">
        <v>22500</v>
      </c>
      <c r="O375" s="16" t="s">
        <v>143</v>
      </c>
      <c r="P375" s="30">
        <v>6920000000</v>
      </c>
      <c r="Q375" s="17" t="s">
        <v>915</v>
      </c>
      <c r="R375" s="18">
        <v>1125</v>
      </c>
      <c r="S375" s="16" t="s">
        <v>83</v>
      </c>
      <c r="T375" s="30">
        <v>2570000000</v>
      </c>
      <c r="U375" s="20" t="s">
        <v>22</v>
      </c>
      <c r="V375" s="16" t="s">
        <v>50</v>
      </c>
      <c r="W375" s="16">
        <v>300</v>
      </c>
      <c r="X375" s="16" t="s">
        <v>51</v>
      </c>
      <c r="Y375" s="16">
        <v>70</v>
      </c>
      <c r="Z375" s="16">
        <v>30</v>
      </c>
      <c r="AA375" s="16">
        <v>0</v>
      </c>
      <c r="AB375" s="16">
        <v>0</v>
      </c>
      <c r="AC375" s="16"/>
      <c r="AD375" s="22"/>
      <c r="AE375" s="23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</row>
    <row r="376" spans="1:84" s="2" customFormat="1" x14ac:dyDescent="0.2">
      <c r="A376" s="17" t="s">
        <v>3921</v>
      </c>
      <c r="B376" s="17" t="s">
        <v>45</v>
      </c>
      <c r="C376" s="17">
        <v>2025</v>
      </c>
      <c r="D376" s="17" t="str">
        <f t="array" ref="D376">_xlfn.SWITCH(E376,"Jatikalen","35.18.20","Kertosono", "35.18.08","Lengkong","35.18.19","Loceret","35.18.04","Tanjunganom","35.18.11","Wilangan","35.18.15")</f>
        <v>35.18.08</v>
      </c>
      <c r="E376" s="16" t="s">
        <v>128</v>
      </c>
      <c r="F376" s="33" t="s">
        <v>960</v>
      </c>
      <c r="G376" s="33" t="s">
        <v>961</v>
      </c>
      <c r="H376" s="16" t="s">
        <v>31</v>
      </c>
      <c r="I376" s="16">
        <v>65</v>
      </c>
      <c r="J376" s="16">
        <v>12</v>
      </c>
      <c r="K376" s="16">
        <f t="shared" si="7"/>
        <v>77</v>
      </c>
      <c r="L376" s="18">
        <f>76000000-6906750</f>
        <v>69093250</v>
      </c>
      <c r="M376" s="17" t="s">
        <v>180</v>
      </c>
      <c r="N376" s="18">
        <v>132</v>
      </c>
      <c r="O376" s="16" t="s">
        <v>962</v>
      </c>
      <c r="P376" s="30">
        <v>420000000</v>
      </c>
      <c r="Q376" s="17" t="s">
        <v>159</v>
      </c>
      <c r="R376" s="18">
        <v>60</v>
      </c>
      <c r="S376" s="16" t="s">
        <v>83</v>
      </c>
      <c r="T376" s="30">
        <v>120000000</v>
      </c>
      <c r="U376" s="20" t="s">
        <v>22</v>
      </c>
      <c r="V376" s="16" t="s">
        <v>50</v>
      </c>
      <c r="W376" s="16">
        <v>300</v>
      </c>
      <c r="X376" s="16" t="s">
        <v>51</v>
      </c>
      <c r="Y376" s="16">
        <v>65</v>
      </c>
      <c r="Z376" s="16">
        <v>35</v>
      </c>
      <c r="AA376" s="16">
        <v>0</v>
      </c>
      <c r="AB376" s="16">
        <v>0</v>
      </c>
      <c r="AC376" s="16"/>
      <c r="AD376" s="22"/>
      <c r="AE376" s="23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</row>
    <row r="377" spans="1:84" s="2" customFormat="1" x14ac:dyDescent="0.2">
      <c r="A377" s="17" t="s">
        <v>3921</v>
      </c>
      <c r="B377" s="17" t="s">
        <v>45</v>
      </c>
      <c r="C377" s="17">
        <v>2025</v>
      </c>
      <c r="D377" s="17" t="str">
        <f t="array" ref="D377">_xlfn.SWITCH(E377,"Bagor","35.18.14","Sukomoro",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377" s="16" t="s">
        <v>140</v>
      </c>
      <c r="F377" s="33" t="s">
        <v>963</v>
      </c>
      <c r="G377" s="33" t="s">
        <v>964</v>
      </c>
      <c r="H377" s="16" t="s">
        <v>47</v>
      </c>
      <c r="I377" s="16">
        <v>15</v>
      </c>
      <c r="J377" s="16">
        <v>25</v>
      </c>
      <c r="K377" s="16">
        <f t="shared" si="7"/>
        <v>40</v>
      </c>
      <c r="L377" s="18">
        <v>220000000</v>
      </c>
      <c r="M377" s="17" t="s">
        <v>904</v>
      </c>
      <c r="N377" s="18">
        <v>114000000</v>
      </c>
      <c r="O377" s="16" t="s">
        <v>49</v>
      </c>
      <c r="P377" s="30">
        <v>196000000</v>
      </c>
      <c r="Q377" s="17" t="s">
        <v>965</v>
      </c>
      <c r="R377" s="18" t="s">
        <v>966</v>
      </c>
      <c r="S377" s="16" t="s">
        <v>83</v>
      </c>
      <c r="T377" s="30">
        <v>56000000</v>
      </c>
      <c r="U377" s="20" t="s">
        <v>22</v>
      </c>
      <c r="V377" s="16">
        <v>0</v>
      </c>
      <c r="W377" s="16">
        <v>0</v>
      </c>
      <c r="X377" s="16">
        <v>0</v>
      </c>
      <c r="Y377" s="16">
        <v>70</v>
      </c>
      <c r="Z377" s="16">
        <v>30</v>
      </c>
      <c r="AA377" s="16">
        <v>0</v>
      </c>
      <c r="AB377" s="16">
        <v>0</v>
      </c>
      <c r="AC377" s="16"/>
      <c r="AD377" s="22"/>
      <c r="AE377" s="23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</row>
    <row r="378" spans="1:84" s="2" customFormat="1" x14ac:dyDescent="0.2">
      <c r="A378" s="17" t="s">
        <v>3921</v>
      </c>
      <c r="B378" s="17" t="s">
        <v>45</v>
      </c>
      <c r="C378" s="17">
        <v>2025</v>
      </c>
      <c r="D378" s="17" t="str">
        <f t="array" ref="D378">_xlfn.SWITCH(E378,"Jatikalen","35.18.20","Kertosono", "35.18.08","Lengkong","35.18.19","Loceret","35.18.04","Tanjunganom","35.18.11","Wilangan","35.18.15")</f>
        <v>35.18.04</v>
      </c>
      <c r="E378" s="16" t="s">
        <v>41</v>
      </c>
      <c r="F378" s="33" t="s">
        <v>387</v>
      </c>
      <c r="G378" s="33" t="s">
        <v>558</v>
      </c>
      <c r="H378" s="16" t="s">
        <v>47</v>
      </c>
      <c r="I378" s="16">
        <v>1</v>
      </c>
      <c r="J378" s="16">
        <v>5</v>
      </c>
      <c r="K378" s="16">
        <f t="shared" si="7"/>
        <v>6</v>
      </c>
      <c r="L378" s="18">
        <v>50000000</v>
      </c>
      <c r="M378" s="17" t="s">
        <v>752</v>
      </c>
      <c r="N378" s="18">
        <v>50</v>
      </c>
      <c r="O378" s="16" t="s">
        <v>51</v>
      </c>
      <c r="P378" s="30">
        <v>62000000</v>
      </c>
      <c r="Q378" s="17" t="s">
        <v>967</v>
      </c>
      <c r="R378" s="18">
        <v>60</v>
      </c>
      <c r="S378" s="16" t="s">
        <v>51</v>
      </c>
      <c r="T378" s="30">
        <v>31125000</v>
      </c>
      <c r="U378" s="20" t="s">
        <v>22</v>
      </c>
      <c r="V378" s="16" t="s">
        <v>52</v>
      </c>
      <c r="W378" s="16">
        <v>500</v>
      </c>
      <c r="X378" s="16" t="s">
        <v>53</v>
      </c>
      <c r="Y378" s="16">
        <v>85</v>
      </c>
      <c r="Z378" s="16">
        <v>15</v>
      </c>
      <c r="AA378" s="16">
        <v>0</v>
      </c>
      <c r="AB378" s="16">
        <v>0</v>
      </c>
      <c r="AC378" s="16"/>
      <c r="AD378" s="22"/>
      <c r="AE378" s="23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</row>
    <row r="379" spans="1:84" s="2" customFormat="1" x14ac:dyDescent="0.2">
      <c r="A379" s="17" t="s">
        <v>3921</v>
      </c>
      <c r="B379" s="17" t="s">
        <v>45</v>
      </c>
      <c r="C379" s="17">
        <v>2025</v>
      </c>
      <c r="D379" s="17" t="str">
        <f t="array" ref="D379">_xlfn.SWITCH(E379,"Bagor","35.18.14","Sukomoro",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79" s="16" t="s">
        <v>92</v>
      </c>
      <c r="F379" s="33" t="s">
        <v>448</v>
      </c>
      <c r="G379" s="33" t="s">
        <v>968</v>
      </c>
      <c r="H379" s="16" t="s">
        <v>47</v>
      </c>
      <c r="I379" s="16">
        <v>36</v>
      </c>
      <c r="J379" s="16">
        <v>5</v>
      </c>
      <c r="K379" s="16">
        <f t="shared" si="7"/>
        <v>41</v>
      </c>
      <c r="L379" s="18">
        <v>135000000</v>
      </c>
      <c r="M379" s="17" t="s">
        <v>258</v>
      </c>
      <c r="N379" s="18">
        <v>30000</v>
      </c>
      <c r="O379" s="16" t="s">
        <v>835</v>
      </c>
      <c r="P379" s="30">
        <v>875850000</v>
      </c>
      <c r="Q379" s="17" t="s">
        <v>260</v>
      </c>
      <c r="R379" s="18">
        <v>6000000</v>
      </c>
      <c r="S379" s="16" t="s">
        <v>268</v>
      </c>
      <c r="T379" s="30">
        <v>310225000</v>
      </c>
      <c r="U379" s="20" t="s">
        <v>22</v>
      </c>
      <c r="V379" s="16">
        <v>0</v>
      </c>
      <c r="W379" s="16">
        <v>0</v>
      </c>
      <c r="X379" s="16">
        <v>0</v>
      </c>
      <c r="Y379" s="16">
        <v>30</v>
      </c>
      <c r="Z379" s="16">
        <v>35</v>
      </c>
      <c r="AA379" s="16">
        <v>35</v>
      </c>
      <c r="AB379" s="16">
        <v>0</v>
      </c>
      <c r="AC379" s="16"/>
      <c r="AD379" s="22">
        <v>39392</v>
      </c>
      <c r="AE379" s="23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</row>
    <row r="380" spans="1:84" s="2" customFormat="1" x14ac:dyDescent="0.2">
      <c r="A380" s="17" t="s">
        <v>3921</v>
      </c>
      <c r="B380" s="17" t="s">
        <v>45</v>
      </c>
      <c r="C380" s="17">
        <v>2025</v>
      </c>
      <c r="D380" s="17" t="str">
        <f t="array" ref="D380">_xlfn.SWITCH(E380,"Bagor","35.18.14","Sukomoro",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80" s="16" t="s">
        <v>71</v>
      </c>
      <c r="F380" s="33" t="s">
        <v>969</v>
      </c>
      <c r="G380" s="33" t="s">
        <v>970</v>
      </c>
      <c r="H380" s="16" t="s">
        <v>81</v>
      </c>
      <c r="I380" s="16">
        <v>25</v>
      </c>
      <c r="J380" s="16">
        <v>30</v>
      </c>
      <c r="K380" s="16">
        <f t="shared" si="7"/>
        <v>55</v>
      </c>
      <c r="L380" s="18">
        <v>380000000</v>
      </c>
      <c r="M380" s="17" t="s">
        <v>971</v>
      </c>
      <c r="N380" s="18">
        <v>40000</v>
      </c>
      <c r="O380" s="16" t="s">
        <v>972</v>
      </c>
      <c r="P380" s="30">
        <f>N380*13000</f>
        <v>520000000</v>
      </c>
      <c r="Q380" s="17" t="s">
        <v>481</v>
      </c>
      <c r="R380" s="18">
        <v>30000</v>
      </c>
      <c r="S380" s="16" t="s">
        <v>972</v>
      </c>
      <c r="T380" s="30">
        <f>R380*3000</f>
        <v>90000000</v>
      </c>
      <c r="U380" s="20" t="s">
        <v>22</v>
      </c>
      <c r="V380" s="20" t="s">
        <v>52</v>
      </c>
      <c r="W380" s="20">
        <v>4500</v>
      </c>
      <c r="X380" s="20" t="s">
        <v>143</v>
      </c>
      <c r="Y380" s="20">
        <v>80</v>
      </c>
      <c r="Z380" s="20">
        <v>20</v>
      </c>
      <c r="AA380" s="20">
        <v>0</v>
      </c>
      <c r="AB380" s="20">
        <v>0</v>
      </c>
      <c r="AC380" s="16" t="s">
        <v>973</v>
      </c>
      <c r="AD380" s="22">
        <v>39570</v>
      </c>
      <c r="AE380" s="23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</row>
    <row r="381" spans="1:84" s="2" customFormat="1" x14ac:dyDescent="0.2">
      <c r="A381" s="17" t="s">
        <v>3921</v>
      </c>
      <c r="B381" s="17" t="s">
        <v>45</v>
      </c>
      <c r="C381" s="17">
        <v>2025</v>
      </c>
      <c r="D381" s="17" t="str">
        <f t="array" ref="D381">_xlfn.SWITCH(E381,"Jatikalen","35.18.20","Kertosono", "35.18.08","Lengkong","35.18.19","Loceret","35.18.04","Tanjunganom","35.18.11","Wilangan","35.18.15")</f>
        <v>35.18.19</v>
      </c>
      <c r="E381" s="16" t="s">
        <v>64</v>
      </c>
      <c r="F381" s="33" t="s">
        <v>974</v>
      </c>
      <c r="G381" s="33" t="s">
        <v>975</v>
      </c>
      <c r="H381" s="16" t="s">
        <v>31</v>
      </c>
      <c r="I381" s="16">
        <v>2</v>
      </c>
      <c r="J381" s="16">
        <v>13</v>
      </c>
      <c r="K381" s="16">
        <f t="shared" si="7"/>
        <v>15</v>
      </c>
      <c r="L381" s="18">
        <v>50000000</v>
      </c>
      <c r="M381" s="17" t="s">
        <v>861</v>
      </c>
      <c r="N381" s="18">
        <v>15000</v>
      </c>
      <c r="O381" s="16" t="s">
        <v>49</v>
      </c>
      <c r="P381" s="30">
        <v>750000000</v>
      </c>
      <c r="Q381" s="17" t="s">
        <v>976</v>
      </c>
      <c r="R381" s="18">
        <v>16000</v>
      </c>
      <c r="S381" s="16" t="s">
        <v>49</v>
      </c>
      <c r="T381" s="30">
        <v>335000000</v>
      </c>
      <c r="U381" s="20" t="s">
        <v>22</v>
      </c>
      <c r="V381" s="16">
        <v>0</v>
      </c>
      <c r="W381" s="16">
        <v>0</v>
      </c>
      <c r="X381" s="16">
        <v>0</v>
      </c>
      <c r="Y381" s="16">
        <v>75</v>
      </c>
      <c r="Z381" s="16">
        <v>25</v>
      </c>
      <c r="AA381" s="16">
        <v>0</v>
      </c>
      <c r="AB381" s="16">
        <v>0</v>
      </c>
      <c r="AC381" s="16" t="s">
        <v>977</v>
      </c>
      <c r="AD381" s="22">
        <v>39520</v>
      </c>
      <c r="AE381" s="23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</row>
    <row r="382" spans="1:84" s="2" customFormat="1" x14ac:dyDescent="0.2">
      <c r="A382" s="17" t="s">
        <v>3921</v>
      </c>
      <c r="B382" s="17" t="s">
        <v>45</v>
      </c>
      <c r="C382" s="17">
        <v>2025</v>
      </c>
      <c r="D382" s="17" t="str">
        <f t="array" ref="D382">_xlfn.SWITCH(E382,"Bagor","35.18.14","Sukomoro",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382" s="16" t="s">
        <v>29</v>
      </c>
      <c r="F382" s="33" t="s">
        <v>217</v>
      </c>
      <c r="G382" s="33" t="s">
        <v>978</v>
      </c>
      <c r="H382" s="16" t="s">
        <v>31</v>
      </c>
      <c r="I382" s="16">
        <v>5</v>
      </c>
      <c r="J382" s="16">
        <v>15</v>
      </c>
      <c r="K382" s="16">
        <f t="shared" si="7"/>
        <v>20</v>
      </c>
      <c r="L382" s="18">
        <v>100000000</v>
      </c>
      <c r="M382" s="17" t="s">
        <v>32</v>
      </c>
      <c r="N382" s="18">
        <v>1000000</v>
      </c>
      <c r="O382" s="16" t="s">
        <v>33</v>
      </c>
      <c r="P382" s="30">
        <f>400*N382</f>
        <v>400000000</v>
      </c>
      <c r="Q382" s="17" t="s">
        <v>34</v>
      </c>
      <c r="R382" s="18">
        <v>100</v>
      </c>
      <c r="S382" s="16" t="s">
        <v>35</v>
      </c>
      <c r="T382" s="30">
        <f>1000000*R382</f>
        <v>100000000</v>
      </c>
      <c r="U382" s="16" t="s">
        <v>22</v>
      </c>
      <c r="V382" s="16">
        <v>0</v>
      </c>
      <c r="W382" s="16">
        <v>0</v>
      </c>
      <c r="X382" s="16">
        <v>0</v>
      </c>
      <c r="Y382" s="16">
        <v>40</v>
      </c>
      <c r="Z382" s="16">
        <v>40</v>
      </c>
      <c r="AA382" s="16">
        <v>20</v>
      </c>
      <c r="AB382" s="16">
        <v>0</v>
      </c>
      <c r="AC382" s="16" t="s">
        <v>979</v>
      </c>
      <c r="AD382" s="31" t="s">
        <v>980</v>
      </c>
      <c r="AE382" s="23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</row>
    <row r="383" spans="1:84" s="2" customFormat="1" x14ac:dyDescent="0.2">
      <c r="A383" s="17" t="s">
        <v>3921</v>
      </c>
      <c r="B383" s="17" t="s">
        <v>45</v>
      </c>
      <c r="C383" s="17">
        <v>2025</v>
      </c>
      <c r="D383" s="17" t="str">
        <f t="array" ref="D383">_xlfn.SWITCH(E383,"Jatikalen","35.18.20","Kertosono", "35.18.08","Lengkong","35.18.19","Loceret","35.18.04","Tanjunganom","35.18.11","Wilangan","35.18.15")</f>
        <v>35.18.11</v>
      </c>
      <c r="E383" s="16" t="s">
        <v>60</v>
      </c>
      <c r="F383" s="33" t="s">
        <v>60</v>
      </c>
      <c r="G383" s="33" t="s">
        <v>981</v>
      </c>
      <c r="H383" s="16" t="s">
        <v>47</v>
      </c>
      <c r="I383" s="16">
        <v>1</v>
      </c>
      <c r="J383" s="16">
        <v>5</v>
      </c>
      <c r="K383" s="16">
        <f t="shared" si="7"/>
        <v>6</v>
      </c>
      <c r="L383" s="18">
        <v>30100000</v>
      </c>
      <c r="M383" s="17" t="s">
        <v>72</v>
      </c>
      <c r="N383" s="18">
        <v>25</v>
      </c>
      <c r="O383" s="16" t="s">
        <v>51</v>
      </c>
      <c r="P383" s="30">
        <v>135000000</v>
      </c>
      <c r="Q383" s="17" t="s">
        <v>295</v>
      </c>
      <c r="R383" s="18">
        <v>30</v>
      </c>
      <c r="S383" s="16" t="s">
        <v>51</v>
      </c>
      <c r="T383" s="30">
        <v>75000000</v>
      </c>
      <c r="U383" s="16" t="s">
        <v>22</v>
      </c>
      <c r="V383" s="16">
        <v>0</v>
      </c>
      <c r="W383" s="16">
        <v>0</v>
      </c>
      <c r="X383" s="16">
        <v>0</v>
      </c>
      <c r="Y383" s="16">
        <v>100</v>
      </c>
      <c r="Z383" s="16">
        <v>0</v>
      </c>
      <c r="AA383" s="16">
        <v>0</v>
      </c>
      <c r="AB383" s="16">
        <v>0</v>
      </c>
      <c r="AC383" s="16" t="s">
        <v>982</v>
      </c>
      <c r="AD383" s="22">
        <v>39619</v>
      </c>
      <c r="AE383" s="23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</row>
    <row r="384" spans="1:84" s="2" customFormat="1" x14ac:dyDescent="0.2">
      <c r="A384" s="17" t="s">
        <v>3921</v>
      </c>
      <c r="B384" s="17" t="s">
        <v>45</v>
      </c>
      <c r="C384" s="17">
        <v>2025</v>
      </c>
      <c r="D384" s="17" t="str">
        <f t="array" ref="D384">_xlfn.SWITCH(E384,"Jatikalen","35.18.20","Kertosono", "35.18.08","Lengkong","35.18.19","Loceret","35.18.04","Tanjunganom","35.18.11","Wilangan","35.18.15")</f>
        <v>35.18.11</v>
      </c>
      <c r="E384" s="16" t="s">
        <v>60</v>
      </c>
      <c r="F384" s="33" t="s">
        <v>344</v>
      </c>
      <c r="G384" s="33" t="s">
        <v>983</v>
      </c>
      <c r="H384" s="16" t="s">
        <v>47</v>
      </c>
      <c r="I384" s="16">
        <v>0</v>
      </c>
      <c r="J384" s="16">
        <v>5</v>
      </c>
      <c r="K384" s="16">
        <f t="shared" si="7"/>
        <v>5</v>
      </c>
      <c r="L384" s="18">
        <v>25600000</v>
      </c>
      <c r="M384" s="17" t="s">
        <v>72</v>
      </c>
      <c r="N384" s="18">
        <v>25</v>
      </c>
      <c r="O384" s="16" t="s">
        <v>51</v>
      </c>
      <c r="P384" s="30">
        <v>145000000</v>
      </c>
      <c r="Q384" s="17" t="s">
        <v>57</v>
      </c>
      <c r="R384" s="18">
        <v>30</v>
      </c>
      <c r="S384" s="16" t="s">
        <v>51</v>
      </c>
      <c r="T384" s="30">
        <v>79500000</v>
      </c>
      <c r="U384" s="16" t="s">
        <v>22</v>
      </c>
      <c r="V384" s="16">
        <v>0</v>
      </c>
      <c r="W384" s="16">
        <v>0</v>
      </c>
      <c r="X384" s="16">
        <v>0</v>
      </c>
      <c r="Y384" s="16">
        <v>100</v>
      </c>
      <c r="Z384" s="16">
        <v>0</v>
      </c>
      <c r="AA384" s="16">
        <v>0</v>
      </c>
      <c r="AB384" s="16">
        <v>0</v>
      </c>
      <c r="AC384" s="16" t="s">
        <v>984</v>
      </c>
      <c r="AD384" s="22">
        <v>39619</v>
      </c>
      <c r="AE384" s="23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</row>
    <row r="385" spans="1:84" s="2" customFormat="1" x14ac:dyDescent="0.2">
      <c r="A385" s="17" t="s">
        <v>3921</v>
      </c>
      <c r="B385" s="17" t="s">
        <v>45</v>
      </c>
      <c r="C385" s="17">
        <v>2025</v>
      </c>
      <c r="D385" s="17" t="str">
        <f t="array" ref="D385">_xlfn.SWITCH(E385,"Bagor","35.18.14","Sukomoro",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85" s="16" t="s">
        <v>162</v>
      </c>
      <c r="F385" s="33" t="s">
        <v>818</v>
      </c>
      <c r="G385" s="33" t="s">
        <v>985</v>
      </c>
      <c r="H385" s="16" t="s">
        <v>47</v>
      </c>
      <c r="I385" s="16">
        <v>30</v>
      </c>
      <c r="J385" s="16">
        <v>5</v>
      </c>
      <c r="K385" s="16">
        <f t="shared" si="7"/>
        <v>35</v>
      </c>
      <c r="L385" s="18">
        <v>450000000</v>
      </c>
      <c r="M385" s="17" t="s">
        <v>986</v>
      </c>
      <c r="N385" s="18">
        <v>1000</v>
      </c>
      <c r="O385" s="16" t="s">
        <v>83</v>
      </c>
      <c r="P385" s="30">
        <v>975000000</v>
      </c>
      <c r="Q385" s="17" t="s">
        <v>987</v>
      </c>
      <c r="R385" s="18">
        <v>1000</v>
      </c>
      <c r="S385" s="16" t="s">
        <v>962</v>
      </c>
      <c r="T385" s="30">
        <v>420000000</v>
      </c>
      <c r="U385" s="16" t="s">
        <v>22</v>
      </c>
      <c r="V385" s="16">
        <v>0</v>
      </c>
      <c r="W385" s="16">
        <v>0</v>
      </c>
      <c r="X385" s="16">
        <v>0</v>
      </c>
      <c r="Y385" s="16">
        <v>80</v>
      </c>
      <c r="Z385" s="16">
        <v>20</v>
      </c>
      <c r="AA385" s="16">
        <v>0</v>
      </c>
      <c r="AB385" s="16">
        <v>0</v>
      </c>
      <c r="AC385" s="16" t="s">
        <v>988</v>
      </c>
      <c r="AD385" s="22">
        <v>39626</v>
      </c>
      <c r="AE385" s="23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</row>
    <row r="386" spans="1:84" s="2" customFormat="1" x14ac:dyDescent="0.2">
      <c r="A386" s="17" t="s">
        <v>3921</v>
      </c>
      <c r="B386" s="17" t="s">
        <v>45</v>
      </c>
      <c r="C386" s="17">
        <v>2025</v>
      </c>
      <c r="D386" s="17" t="str">
        <f t="array" ref="D386">_xlfn.SWITCH(E386,"Bagor","35.18.14","Sukomoro",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386" s="16" t="s">
        <v>103</v>
      </c>
      <c r="F386" s="33" t="s">
        <v>989</v>
      </c>
      <c r="G386" s="33" t="s">
        <v>990</v>
      </c>
      <c r="H386" s="16" t="s">
        <v>991</v>
      </c>
      <c r="I386" s="16">
        <v>34</v>
      </c>
      <c r="J386" s="16">
        <v>1532</v>
      </c>
      <c r="K386" s="16">
        <f t="shared" si="7"/>
        <v>1566</v>
      </c>
      <c r="L386" s="18">
        <v>250000000</v>
      </c>
      <c r="M386" s="17" t="s">
        <v>32</v>
      </c>
      <c r="N386" s="18">
        <v>663829848</v>
      </c>
      <c r="O386" s="16" t="s">
        <v>33</v>
      </c>
      <c r="P386" s="30">
        <v>248272363152</v>
      </c>
      <c r="Q386" s="17" t="s">
        <v>34</v>
      </c>
      <c r="R386" s="18">
        <v>66500</v>
      </c>
      <c r="S386" s="16" t="s">
        <v>35</v>
      </c>
      <c r="T386" s="30">
        <v>97726250000</v>
      </c>
      <c r="U386" s="16" t="s">
        <v>22</v>
      </c>
      <c r="V386" s="16">
        <v>0</v>
      </c>
      <c r="W386" s="16">
        <v>0</v>
      </c>
      <c r="X386" s="16">
        <v>0</v>
      </c>
      <c r="Y386" s="16">
        <v>35</v>
      </c>
      <c r="Z386" s="16">
        <v>35</v>
      </c>
      <c r="AA386" s="16">
        <v>30</v>
      </c>
      <c r="AB386" s="16">
        <v>0</v>
      </c>
      <c r="AC386" s="16" t="s">
        <v>992</v>
      </c>
      <c r="AD386" s="22">
        <v>39713</v>
      </c>
      <c r="AE386" s="23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</row>
    <row r="387" spans="1:84" s="2" customFormat="1" x14ac:dyDescent="0.2">
      <c r="A387" s="17" t="s">
        <v>3921</v>
      </c>
      <c r="B387" s="17" t="s">
        <v>45</v>
      </c>
      <c r="C387" s="17">
        <v>2025</v>
      </c>
      <c r="D387" s="17" t="str">
        <f t="array" ref="D387">_xlfn.SWITCH(E387,"Jatikalen","35.18.20","Kertosono", "35.18.08","Lengkong","35.18.19","Loceret","35.18.04","Tanjunganom","35.18.11","Wilangan","35.18.15")</f>
        <v>35.18.04</v>
      </c>
      <c r="E387" s="16" t="s">
        <v>41</v>
      </c>
      <c r="F387" s="33" t="s">
        <v>993</v>
      </c>
      <c r="G387" s="33" t="s">
        <v>994</v>
      </c>
      <c r="H387" s="16" t="s">
        <v>31</v>
      </c>
      <c r="I387" s="16">
        <v>2</v>
      </c>
      <c r="J387" s="16">
        <v>15</v>
      </c>
      <c r="K387" s="16">
        <f t="shared" si="7"/>
        <v>17</v>
      </c>
      <c r="L387" s="18">
        <v>200000000</v>
      </c>
      <c r="M387" s="17" t="s">
        <v>32</v>
      </c>
      <c r="N387" s="18">
        <v>6000000</v>
      </c>
      <c r="O387" s="16" t="s">
        <v>33</v>
      </c>
      <c r="P387" s="30">
        <f>N387*290</f>
        <v>1740000000</v>
      </c>
      <c r="Q387" s="17" t="s">
        <v>34</v>
      </c>
      <c r="R387" s="18">
        <v>650</v>
      </c>
      <c r="S387" s="16" t="s">
        <v>35</v>
      </c>
      <c r="T387" s="30">
        <v>480065000</v>
      </c>
      <c r="U387" s="16" t="s">
        <v>22</v>
      </c>
      <c r="V387" s="16">
        <v>0</v>
      </c>
      <c r="W387" s="16">
        <v>0</v>
      </c>
      <c r="X387" s="16">
        <v>0</v>
      </c>
      <c r="Y387" s="16">
        <v>40</v>
      </c>
      <c r="Z387" s="16">
        <v>30</v>
      </c>
      <c r="AA387" s="16">
        <v>30</v>
      </c>
      <c r="AB387" s="16">
        <v>0</v>
      </c>
      <c r="AC387" s="26" t="s">
        <v>995</v>
      </c>
      <c r="AD387" s="27" t="s">
        <v>927</v>
      </c>
      <c r="AE387" s="23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</row>
    <row r="388" spans="1:84" s="2" customFormat="1" x14ac:dyDescent="0.2">
      <c r="A388" s="17" t="s">
        <v>3921</v>
      </c>
      <c r="B388" s="17" t="s">
        <v>45</v>
      </c>
      <c r="C388" s="17">
        <v>2025</v>
      </c>
      <c r="D388" s="17" t="str">
        <f t="array" ref="D388">_xlfn.SWITCH(E388,"Bagor","35.18.14","Sukomoro",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88" s="16" t="s">
        <v>45</v>
      </c>
      <c r="F388" s="33" t="s">
        <v>996</v>
      </c>
      <c r="G388" s="33" t="s">
        <v>997</v>
      </c>
      <c r="H388" s="16" t="s">
        <v>47</v>
      </c>
      <c r="I388" s="16">
        <v>0</v>
      </c>
      <c r="J388" s="16">
        <v>5</v>
      </c>
      <c r="K388" s="16">
        <f t="shared" si="7"/>
        <v>5</v>
      </c>
      <c r="L388" s="18">
        <v>43400000</v>
      </c>
      <c r="M388" s="17" t="s">
        <v>48</v>
      </c>
      <c r="N388" s="18">
        <v>20</v>
      </c>
      <c r="O388" s="16" t="s">
        <v>51</v>
      </c>
      <c r="P388" s="30">
        <v>192000000</v>
      </c>
      <c r="Q388" s="17" t="s">
        <v>57</v>
      </c>
      <c r="R388" s="18">
        <v>25</v>
      </c>
      <c r="S388" s="16" t="s">
        <v>51</v>
      </c>
      <c r="T388" s="30">
        <v>84000000</v>
      </c>
      <c r="U388" s="16" t="s">
        <v>22</v>
      </c>
      <c r="V388" s="16" t="s">
        <v>998</v>
      </c>
      <c r="W388" s="16">
        <v>250</v>
      </c>
      <c r="X388" s="16" t="s">
        <v>53</v>
      </c>
      <c r="Y388" s="16">
        <v>70</v>
      </c>
      <c r="Z388" s="16">
        <v>30</v>
      </c>
      <c r="AA388" s="16">
        <v>0</v>
      </c>
      <c r="AB388" s="16">
        <v>0</v>
      </c>
      <c r="AC388" s="16" t="s">
        <v>999</v>
      </c>
      <c r="AD388" s="22">
        <v>39651</v>
      </c>
      <c r="AE388" s="23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</row>
    <row r="389" spans="1:84" s="2" customFormat="1" x14ac:dyDescent="0.2">
      <c r="A389" s="17" t="s">
        <v>3921</v>
      </c>
      <c r="B389" s="17" t="s">
        <v>45</v>
      </c>
      <c r="C389" s="17">
        <v>2025</v>
      </c>
      <c r="D389" s="17" t="str">
        <f t="array" ref="D389">_xlfn.SWITCH(E389,"Bagor","35.18.14","Sukomoro",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89" s="16" t="s">
        <v>45</v>
      </c>
      <c r="F389" s="33" t="s">
        <v>1000</v>
      </c>
      <c r="G389" s="33" t="s">
        <v>1001</v>
      </c>
      <c r="H389" s="16" t="s">
        <v>31</v>
      </c>
      <c r="I389" s="16">
        <v>3</v>
      </c>
      <c r="J389" s="16">
        <v>2</v>
      </c>
      <c r="K389" s="16">
        <f t="shared" si="7"/>
        <v>5</v>
      </c>
      <c r="L389" s="18">
        <v>10000000</v>
      </c>
      <c r="M389" s="17" t="s">
        <v>406</v>
      </c>
      <c r="N389" s="18">
        <v>4000</v>
      </c>
      <c r="O389" s="16" t="s">
        <v>152</v>
      </c>
      <c r="P389" s="30">
        <v>100000000</v>
      </c>
      <c r="Q389" s="17" t="s">
        <v>153</v>
      </c>
      <c r="R389" s="18">
        <v>5</v>
      </c>
      <c r="S389" s="16" t="s">
        <v>83</v>
      </c>
      <c r="T389" s="30">
        <v>15785000</v>
      </c>
      <c r="U389" s="16" t="s">
        <v>22</v>
      </c>
      <c r="V389" s="16" t="s">
        <v>438</v>
      </c>
      <c r="W389" s="16">
        <v>600</v>
      </c>
      <c r="X389" s="16" t="s">
        <v>53</v>
      </c>
      <c r="Y389" s="16">
        <v>80</v>
      </c>
      <c r="Z389" s="16">
        <v>20</v>
      </c>
      <c r="AA389" s="16">
        <v>0</v>
      </c>
      <c r="AB389" s="16">
        <v>0</v>
      </c>
      <c r="AC389" s="16" t="s">
        <v>1002</v>
      </c>
      <c r="AD389" s="22">
        <v>39680</v>
      </c>
      <c r="AE389" s="23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</row>
    <row r="390" spans="1:84" s="2" customFormat="1" x14ac:dyDescent="0.2">
      <c r="A390" s="17" t="s">
        <v>3921</v>
      </c>
      <c r="B390" s="17" t="s">
        <v>45</v>
      </c>
      <c r="C390" s="17">
        <v>2025</v>
      </c>
      <c r="D390" s="17" t="str">
        <f t="array" ref="D390">_xlfn.SWITCH(E390,"Bagor","35.18.14","Sukomoro",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0" s="16" t="s">
        <v>71</v>
      </c>
      <c r="F390" s="33" t="s">
        <v>71</v>
      </c>
      <c r="G390" s="33" t="s">
        <v>1003</v>
      </c>
      <c r="H390" s="16" t="s">
        <v>31</v>
      </c>
      <c r="I390" s="16">
        <v>3</v>
      </c>
      <c r="J390" s="16">
        <v>1</v>
      </c>
      <c r="K390" s="16">
        <f t="shared" si="7"/>
        <v>4</v>
      </c>
      <c r="L390" s="18">
        <v>11500000</v>
      </c>
      <c r="M390" s="17" t="s">
        <v>354</v>
      </c>
      <c r="N390" s="18">
        <v>100</v>
      </c>
      <c r="O390" s="16" t="s">
        <v>35</v>
      </c>
      <c r="P390" s="30">
        <v>50000000</v>
      </c>
      <c r="Q390" s="17" t="s">
        <v>956</v>
      </c>
      <c r="R390" s="18">
        <v>5</v>
      </c>
      <c r="S390" s="16" t="s">
        <v>83</v>
      </c>
      <c r="T390" s="30">
        <v>20000000</v>
      </c>
      <c r="U390" s="16" t="s">
        <v>22</v>
      </c>
      <c r="V390" s="16" t="s">
        <v>57</v>
      </c>
      <c r="W390" s="16">
        <v>10</v>
      </c>
      <c r="X390" s="16" t="s">
        <v>51</v>
      </c>
      <c r="Y390" s="16">
        <v>60</v>
      </c>
      <c r="Z390" s="16">
        <v>40</v>
      </c>
      <c r="AA390" s="16">
        <v>0</v>
      </c>
      <c r="AB390" s="16">
        <v>0</v>
      </c>
      <c r="AC390" s="16"/>
      <c r="AD390" s="24">
        <v>2006</v>
      </c>
      <c r="AE390" s="23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</row>
    <row r="391" spans="1:84" s="2" customFormat="1" x14ac:dyDescent="0.2">
      <c r="A391" s="17" t="s">
        <v>3921</v>
      </c>
      <c r="B391" s="17" t="s">
        <v>45</v>
      </c>
      <c r="C391" s="17">
        <v>2025</v>
      </c>
      <c r="D391" s="17" t="str">
        <f t="array" ref="D391">_xlfn.SWITCH(E391,"Bagor","35.18.14","Sukomoro",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1" s="16" t="s">
        <v>71</v>
      </c>
      <c r="F391" s="33" t="s">
        <v>352</v>
      </c>
      <c r="G391" s="33" t="s">
        <v>1004</v>
      </c>
      <c r="H391" s="16" t="s">
        <v>47</v>
      </c>
      <c r="I391" s="16">
        <v>5</v>
      </c>
      <c r="J391" s="16">
        <v>2</v>
      </c>
      <c r="K391" s="16">
        <f t="shared" si="7"/>
        <v>7</v>
      </c>
      <c r="L391" s="18">
        <v>35000000</v>
      </c>
      <c r="M391" s="17" t="s">
        <v>354</v>
      </c>
      <c r="N391" s="18">
        <v>6500</v>
      </c>
      <c r="O391" s="16" t="s">
        <v>35</v>
      </c>
      <c r="P391" s="30">
        <v>2100000000</v>
      </c>
      <c r="Q391" s="17" t="s">
        <v>1005</v>
      </c>
      <c r="R391" s="18">
        <v>325</v>
      </c>
      <c r="S391" s="16" t="s">
        <v>83</v>
      </c>
      <c r="T391" s="30">
        <v>900000000</v>
      </c>
      <c r="U391" s="16" t="s">
        <v>22</v>
      </c>
      <c r="V391" s="16" t="s">
        <v>50</v>
      </c>
      <c r="W391" s="16">
        <v>200</v>
      </c>
      <c r="X391" s="16" t="s">
        <v>51</v>
      </c>
      <c r="Y391" s="16">
        <v>70</v>
      </c>
      <c r="Z391" s="16">
        <v>30</v>
      </c>
      <c r="AA391" s="16">
        <v>0</v>
      </c>
      <c r="AB391" s="16">
        <v>0</v>
      </c>
      <c r="AC391" s="16" t="s">
        <v>1006</v>
      </c>
      <c r="AD391" s="22">
        <v>39567</v>
      </c>
      <c r="AE391" s="23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</row>
    <row r="392" spans="1:84" s="2" customFormat="1" x14ac:dyDescent="0.2">
      <c r="A392" s="17" t="s">
        <v>3921</v>
      </c>
      <c r="B392" s="17" t="s">
        <v>45</v>
      </c>
      <c r="C392" s="17">
        <v>2025</v>
      </c>
      <c r="D392" s="17" t="str">
        <f t="array" ref="D392">_xlfn.SWITCH(E392,"Bagor","35.18.14","Sukomoro",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2" s="16" t="s">
        <v>71</v>
      </c>
      <c r="F392" s="33" t="s">
        <v>352</v>
      </c>
      <c r="G392" s="33" t="s">
        <v>1007</v>
      </c>
      <c r="H392" s="16" t="s">
        <v>47</v>
      </c>
      <c r="I392" s="16">
        <v>7</v>
      </c>
      <c r="J392" s="16">
        <v>1</v>
      </c>
      <c r="K392" s="16">
        <f t="shared" si="7"/>
        <v>8</v>
      </c>
      <c r="L392" s="18">
        <v>45500000</v>
      </c>
      <c r="M392" s="17" t="s">
        <v>354</v>
      </c>
      <c r="N392" s="18">
        <v>7500</v>
      </c>
      <c r="O392" s="16" t="s">
        <v>35</v>
      </c>
      <c r="P392" s="30">
        <v>1975000000</v>
      </c>
      <c r="Q392" s="17" t="s">
        <v>1005</v>
      </c>
      <c r="R392" s="18">
        <v>325</v>
      </c>
      <c r="S392" s="16" t="s">
        <v>83</v>
      </c>
      <c r="T392" s="30">
        <v>915000000</v>
      </c>
      <c r="U392" s="16" t="s">
        <v>22</v>
      </c>
      <c r="V392" s="16" t="s">
        <v>50</v>
      </c>
      <c r="W392" s="16">
        <v>200</v>
      </c>
      <c r="X392" s="16" t="s">
        <v>51</v>
      </c>
      <c r="Y392" s="16">
        <v>65</v>
      </c>
      <c r="Z392" s="16">
        <v>35</v>
      </c>
      <c r="AA392" s="16">
        <v>0</v>
      </c>
      <c r="AB392" s="16">
        <v>0</v>
      </c>
      <c r="AC392" s="16" t="s">
        <v>1008</v>
      </c>
      <c r="AD392" s="22">
        <v>39567</v>
      </c>
      <c r="AE392" s="23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</row>
    <row r="393" spans="1:84" s="2" customFormat="1" x14ac:dyDescent="0.2">
      <c r="A393" s="17" t="s">
        <v>3921</v>
      </c>
      <c r="B393" s="17" t="s">
        <v>45</v>
      </c>
      <c r="C393" s="17">
        <v>2025</v>
      </c>
      <c r="D393" s="17" t="str">
        <f t="array" ref="D393">_xlfn.SWITCH(E393,"Bagor","35.18.14","Sukomoro",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3" s="16" t="s">
        <v>71</v>
      </c>
      <c r="F393" s="33" t="s">
        <v>969</v>
      </c>
      <c r="G393" s="33" t="s">
        <v>1009</v>
      </c>
      <c r="H393" s="16" t="s">
        <v>47</v>
      </c>
      <c r="I393" s="16">
        <v>8</v>
      </c>
      <c r="J393" s="16">
        <v>2</v>
      </c>
      <c r="K393" s="16">
        <f t="shared" si="7"/>
        <v>10</v>
      </c>
      <c r="L393" s="18">
        <v>47000000</v>
      </c>
      <c r="M393" s="17" t="s">
        <v>354</v>
      </c>
      <c r="N393" s="18">
        <v>600</v>
      </c>
      <c r="O393" s="16" t="s">
        <v>35</v>
      </c>
      <c r="P393" s="30">
        <v>1850000000</v>
      </c>
      <c r="Q393" s="17" t="s">
        <v>956</v>
      </c>
      <c r="R393" s="18">
        <v>300</v>
      </c>
      <c r="S393" s="16" t="s">
        <v>83</v>
      </c>
      <c r="T393" s="30">
        <v>520000000</v>
      </c>
      <c r="U393" s="16" t="s">
        <v>22</v>
      </c>
      <c r="V393" s="16" t="s">
        <v>50</v>
      </c>
      <c r="W393" s="16">
        <v>60</v>
      </c>
      <c r="X393" s="16" t="s">
        <v>51</v>
      </c>
      <c r="Y393" s="16">
        <v>60</v>
      </c>
      <c r="Z393" s="16">
        <v>40</v>
      </c>
      <c r="AA393" s="16">
        <v>0</v>
      </c>
      <c r="AB393" s="16">
        <v>0</v>
      </c>
      <c r="AC393" s="16" t="s">
        <v>1010</v>
      </c>
      <c r="AD393" s="22">
        <v>39644</v>
      </c>
      <c r="AE393" s="23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</row>
    <row r="394" spans="1:84" s="2" customFormat="1" x14ac:dyDescent="0.2">
      <c r="A394" s="17" t="s">
        <v>3921</v>
      </c>
      <c r="B394" s="17" t="s">
        <v>45</v>
      </c>
      <c r="C394" s="17">
        <v>2025</v>
      </c>
      <c r="D394" s="17" t="str">
        <f t="array" ref="D394">_xlfn.SWITCH(E394,"Bagor","35.18.14","Sukomoro",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4" s="16" t="s">
        <v>71</v>
      </c>
      <c r="F394" s="33" t="s">
        <v>71</v>
      </c>
      <c r="G394" s="33" t="s">
        <v>1011</v>
      </c>
      <c r="H394" s="16" t="s">
        <v>47</v>
      </c>
      <c r="I394" s="16">
        <v>13</v>
      </c>
      <c r="J394" s="16">
        <v>3</v>
      </c>
      <c r="K394" s="16">
        <f t="shared" si="7"/>
        <v>16</v>
      </c>
      <c r="L394" s="18">
        <v>60000000</v>
      </c>
      <c r="M394" s="17" t="s">
        <v>354</v>
      </c>
      <c r="N394" s="18">
        <v>6000</v>
      </c>
      <c r="O394" s="16" t="s">
        <v>35</v>
      </c>
      <c r="P394" s="30">
        <v>3450000000</v>
      </c>
      <c r="Q394" s="17" t="s">
        <v>1005</v>
      </c>
      <c r="R394" s="18">
        <v>300</v>
      </c>
      <c r="S394" s="16" t="s">
        <v>83</v>
      </c>
      <c r="T394" s="30">
        <v>1750000000</v>
      </c>
      <c r="U394" s="16" t="s">
        <v>22</v>
      </c>
      <c r="V394" s="16" t="s">
        <v>50</v>
      </c>
      <c r="W394" s="16">
        <v>200</v>
      </c>
      <c r="X394" s="16" t="s">
        <v>51</v>
      </c>
      <c r="Y394" s="16">
        <v>65</v>
      </c>
      <c r="Z394" s="16">
        <v>35</v>
      </c>
      <c r="AA394" s="16">
        <v>0</v>
      </c>
      <c r="AB394" s="16">
        <v>0</v>
      </c>
      <c r="AC394" s="16" t="s">
        <v>1012</v>
      </c>
      <c r="AD394" s="22">
        <v>39651</v>
      </c>
      <c r="AE394" s="23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</row>
    <row r="395" spans="1:84" s="2" customFormat="1" x14ac:dyDescent="0.2">
      <c r="A395" s="17" t="s">
        <v>3921</v>
      </c>
      <c r="B395" s="17" t="s">
        <v>45</v>
      </c>
      <c r="C395" s="17">
        <v>2025</v>
      </c>
      <c r="D395" s="17" t="str">
        <f t="array" ref="D395">_xlfn.SWITCH(E395,"Bagor","35.18.14","Sukomoro",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5" s="16" t="s">
        <v>71</v>
      </c>
      <c r="F395" s="33" t="s">
        <v>913</v>
      </c>
      <c r="G395" s="33" t="s">
        <v>1013</v>
      </c>
      <c r="H395" s="16" t="s">
        <v>47</v>
      </c>
      <c r="I395" s="16">
        <v>4</v>
      </c>
      <c r="J395" s="16">
        <v>1</v>
      </c>
      <c r="K395" s="16">
        <f t="shared" si="7"/>
        <v>5</v>
      </c>
      <c r="L395" s="18">
        <v>72000000</v>
      </c>
      <c r="M395" s="17" t="s">
        <v>354</v>
      </c>
      <c r="N395" s="18">
        <v>1200</v>
      </c>
      <c r="O395" s="16" t="s">
        <v>35</v>
      </c>
      <c r="P395" s="30">
        <v>2750000000</v>
      </c>
      <c r="Q395" s="17" t="s">
        <v>1005</v>
      </c>
      <c r="R395" s="18">
        <v>90</v>
      </c>
      <c r="S395" s="16" t="s">
        <v>83</v>
      </c>
      <c r="T395" s="30">
        <v>798000000</v>
      </c>
      <c r="U395" s="16" t="s">
        <v>22</v>
      </c>
      <c r="V395" s="16" t="s">
        <v>50</v>
      </c>
      <c r="W395" s="16">
        <v>100</v>
      </c>
      <c r="X395" s="16" t="s">
        <v>51</v>
      </c>
      <c r="Y395" s="16">
        <v>50</v>
      </c>
      <c r="Z395" s="16">
        <v>50</v>
      </c>
      <c r="AA395" s="16">
        <v>0</v>
      </c>
      <c r="AB395" s="16">
        <v>0</v>
      </c>
      <c r="AC395" s="16" t="s">
        <v>1014</v>
      </c>
      <c r="AD395" s="22">
        <v>39777</v>
      </c>
      <c r="AE395" s="23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</row>
    <row r="396" spans="1:84" s="2" customFormat="1" x14ac:dyDescent="0.2">
      <c r="A396" s="17" t="s">
        <v>3921</v>
      </c>
      <c r="B396" s="17" t="s">
        <v>45</v>
      </c>
      <c r="C396" s="17">
        <v>2025</v>
      </c>
      <c r="D396" s="17" t="str">
        <f t="array" ref="D396">_xlfn.SWITCH(E396,"Bagor","35.18.14","Sukomoro",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396" s="16" t="s">
        <v>149</v>
      </c>
      <c r="F396" s="33" t="s">
        <v>1015</v>
      </c>
      <c r="G396" s="33" t="s">
        <v>1016</v>
      </c>
      <c r="H396" s="16" t="s">
        <v>47</v>
      </c>
      <c r="I396" s="16">
        <v>5</v>
      </c>
      <c r="J396" s="16">
        <v>10</v>
      </c>
      <c r="K396" s="16">
        <f t="shared" si="7"/>
        <v>15</v>
      </c>
      <c r="L396" s="18">
        <v>90200000</v>
      </c>
      <c r="M396" s="17" t="s">
        <v>48</v>
      </c>
      <c r="N396" s="18">
        <v>200</v>
      </c>
      <c r="O396" s="16" t="s">
        <v>51</v>
      </c>
      <c r="P396" s="30">
        <v>1395000000</v>
      </c>
      <c r="Q396" s="17" t="s">
        <v>57</v>
      </c>
      <c r="R396" s="18">
        <v>215</v>
      </c>
      <c r="S396" s="16" t="s">
        <v>51</v>
      </c>
      <c r="T396" s="30">
        <v>752500000</v>
      </c>
      <c r="U396" s="16" t="s">
        <v>22</v>
      </c>
      <c r="V396" s="16" t="s">
        <v>52</v>
      </c>
      <c r="W396" s="16">
        <v>1500</v>
      </c>
      <c r="X396" s="16" t="s">
        <v>53</v>
      </c>
      <c r="Y396" s="16">
        <v>40</v>
      </c>
      <c r="Z396" s="16">
        <v>35</v>
      </c>
      <c r="AA396" s="16">
        <v>25</v>
      </c>
      <c r="AB396" s="16">
        <v>0</v>
      </c>
      <c r="AC396" s="16" t="s">
        <v>1017</v>
      </c>
      <c r="AD396" s="22">
        <v>39497</v>
      </c>
      <c r="AE396" s="23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</row>
    <row r="397" spans="1:84" s="2" customFormat="1" x14ac:dyDescent="0.2">
      <c r="A397" s="17" t="s">
        <v>3921</v>
      </c>
      <c r="B397" s="17" t="s">
        <v>45</v>
      </c>
      <c r="C397" s="17">
        <v>2025</v>
      </c>
      <c r="D397" s="17" t="str">
        <f t="array" ref="D397">_xlfn.SWITCH(E397,"Bagor","35.18.14","Sukomoro",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397" s="16" t="s">
        <v>157</v>
      </c>
      <c r="F397" s="33" t="s">
        <v>1018</v>
      </c>
      <c r="G397" s="33" t="s">
        <v>1019</v>
      </c>
      <c r="H397" s="16" t="s">
        <v>31</v>
      </c>
      <c r="I397" s="16">
        <v>2</v>
      </c>
      <c r="J397" s="16">
        <v>4</v>
      </c>
      <c r="K397" s="16">
        <f t="shared" si="7"/>
        <v>6</v>
      </c>
      <c r="L397" s="18">
        <v>50000000</v>
      </c>
      <c r="M397" s="17" t="s">
        <v>32</v>
      </c>
      <c r="N397" s="18">
        <v>1000000</v>
      </c>
      <c r="O397" s="16" t="s">
        <v>33</v>
      </c>
      <c r="P397" s="30">
        <f>N397*400</f>
        <v>400000000</v>
      </c>
      <c r="Q397" s="17" t="s">
        <v>34</v>
      </c>
      <c r="R397" s="18">
        <v>100</v>
      </c>
      <c r="S397" s="16" t="s">
        <v>35</v>
      </c>
      <c r="T397" s="30">
        <f>1000000*R397</f>
        <v>100000000</v>
      </c>
      <c r="U397" s="16" t="s">
        <v>22</v>
      </c>
      <c r="V397" s="16">
        <v>0</v>
      </c>
      <c r="W397" s="16">
        <v>0</v>
      </c>
      <c r="X397" s="16">
        <v>0</v>
      </c>
      <c r="Y397" s="16">
        <v>60</v>
      </c>
      <c r="Z397" s="16">
        <v>40</v>
      </c>
      <c r="AA397" s="16">
        <v>0</v>
      </c>
      <c r="AB397" s="16">
        <v>0</v>
      </c>
      <c r="AC397" s="16" t="s">
        <v>1020</v>
      </c>
      <c r="AD397" s="31" t="s">
        <v>1021</v>
      </c>
      <c r="AE397" s="23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</row>
    <row r="398" spans="1:84" s="2" customFormat="1" x14ac:dyDescent="0.2">
      <c r="A398" s="17" t="s">
        <v>3921</v>
      </c>
      <c r="B398" s="17" t="s">
        <v>45</v>
      </c>
      <c r="C398" s="17">
        <v>2025</v>
      </c>
      <c r="D398" s="17" t="str">
        <f t="array" ref="D398">_xlfn.SWITCH(E398,"Bagor","35.18.14","Sukomoro",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398" s="16" t="s">
        <v>140</v>
      </c>
      <c r="F398" s="33" t="s">
        <v>1022</v>
      </c>
      <c r="G398" s="33" t="s">
        <v>532</v>
      </c>
      <c r="H398" s="16" t="s">
        <v>47</v>
      </c>
      <c r="I398" s="16">
        <v>0</v>
      </c>
      <c r="J398" s="16">
        <v>5</v>
      </c>
      <c r="K398" s="16">
        <f t="shared" si="7"/>
        <v>5</v>
      </c>
      <c r="L398" s="18">
        <v>50000000</v>
      </c>
      <c r="M398" s="17" t="s">
        <v>255</v>
      </c>
      <c r="N398" s="18">
        <v>50</v>
      </c>
      <c r="O398" s="16" t="s">
        <v>95</v>
      </c>
      <c r="P398" s="30">
        <v>145000000</v>
      </c>
      <c r="Q398" s="17" t="s">
        <v>584</v>
      </c>
      <c r="R398" s="18"/>
      <c r="S398" s="16"/>
      <c r="T398" s="30">
        <v>31200000</v>
      </c>
      <c r="U398" s="16" t="s">
        <v>22</v>
      </c>
      <c r="V398" s="16">
        <v>0</v>
      </c>
      <c r="W398" s="16">
        <v>0</v>
      </c>
      <c r="X398" s="16">
        <v>0</v>
      </c>
      <c r="Y398" s="16">
        <v>80</v>
      </c>
      <c r="Z398" s="16">
        <v>20</v>
      </c>
      <c r="AA398" s="16">
        <v>0</v>
      </c>
      <c r="AB398" s="16">
        <v>0</v>
      </c>
      <c r="AC398" s="16" t="s">
        <v>1023</v>
      </c>
      <c r="AD398" s="22">
        <v>39559</v>
      </c>
      <c r="AE398" s="23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</row>
    <row r="399" spans="1:84" s="2" customFormat="1" x14ac:dyDescent="0.2">
      <c r="A399" s="17" t="s">
        <v>3921</v>
      </c>
      <c r="B399" s="17" t="s">
        <v>45</v>
      </c>
      <c r="C399" s="17">
        <v>2025</v>
      </c>
      <c r="D399" s="17" t="str">
        <f t="array" ref="D399">_xlfn.SWITCH(E399,"Bagor","35.18.14","Sukomoro",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399" s="16" t="s">
        <v>124</v>
      </c>
      <c r="F399" s="33" t="s">
        <v>1024</v>
      </c>
      <c r="G399" s="33" t="s">
        <v>1025</v>
      </c>
      <c r="H399" s="16" t="s">
        <v>47</v>
      </c>
      <c r="I399" s="16">
        <v>0</v>
      </c>
      <c r="J399" s="16">
        <v>7</v>
      </c>
      <c r="K399" s="16">
        <f t="shared" si="7"/>
        <v>7</v>
      </c>
      <c r="L399" s="18">
        <v>183000000</v>
      </c>
      <c r="M399" s="17" t="s">
        <v>1026</v>
      </c>
      <c r="N399" s="18">
        <v>300</v>
      </c>
      <c r="O399" s="16" t="s">
        <v>83</v>
      </c>
      <c r="P399" s="30">
        <v>7500000000</v>
      </c>
      <c r="Q399" s="17" t="s">
        <v>1027</v>
      </c>
      <c r="R399" s="18">
        <v>315</v>
      </c>
      <c r="S399" s="16" t="s">
        <v>83</v>
      </c>
      <c r="T399" s="30">
        <v>3850215000</v>
      </c>
      <c r="U399" s="16" t="s">
        <v>22</v>
      </c>
      <c r="V399" s="16">
        <v>0</v>
      </c>
      <c r="W399" s="16">
        <v>0</v>
      </c>
      <c r="X399" s="16">
        <v>0</v>
      </c>
      <c r="Y399" s="16">
        <v>50</v>
      </c>
      <c r="Z399" s="16">
        <v>50</v>
      </c>
      <c r="AA399" s="16">
        <v>0</v>
      </c>
      <c r="AB399" s="16">
        <v>0</v>
      </c>
      <c r="AC399" s="16" t="s">
        <v>1028</v>
      </c>
      <c r="AD399" s="22">
        <v>39575</v>
      </c>
      <c r="AE399" s="23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</row>
    <row r="400" spans="1:84" s="2" customFormat="1" x14ac:dyDescent="0.2">
      <c r="A400" s="17" t="s">
        <v>3921</v>
      </c>
      <c r="B400" s="17" t="s">
        <v>45</v>
      </c>
      <c r="C400" s="17">
        <v>2025</v>
      </c>
      <c r="D400" s="17" t="str">
        <f t="array" ref="D400">_xlfn.SWITCH(E400,"Bagor","35.18.14","Sukomoro",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00" s="16" t="s">
        <v>157</v>
      </c>
      <c r="F400" s="33" t="s">
        <v>1029</v>
      </c>
      <c r="G400" s="33" t="s">
        <v>1030</v>
      </c>
      <c r="H400" s="16" t="s">
        <v>47</v>
      </c>
      <c r="I400" s="16">
        <v>3</v>
      </c>
      <c r="J400" s="16">
        <v>7</v>
      </c>
      <c r="K400" s="16">
        <f t="shared" si="7"/>
        <v>10</v>
      </c>
      <c r="L400" s="18">
        <v>50000000</v>
      </c>
      <c r="M400" s="17" t="s">
        <v>48</v>
      </c>
      <c r="N400" s="18">
        <v>100</v>
      </c>
      <c r="O400" s="16" t="s">
        <v>51</v>
      </c>
      <c r="P400" s="30">
        <v>710000000</v>
      </c>
      <c r="Q400" s="17" t="s">
        <v>57</v>
      </c>
      <c r="R400" s="18">
        <v>110</v>
      </c>
      <c r="S400" s="16" t="s">
        <v>51</v>
      </c>
      <c r="T400" s="30">
        <v>385000000</v>
      </c>
      <c r="U400" s="16" t="s">
        <v>22</v>
      </c>
      <c r="V400" s="16" t="s">
        <v>52</v>
      </c>
      <c r="W400" s="16">
        <v>1100</v>
      </c>
      <c r="X400" s="16" t="s">
        <v>53</v>
      </c>
      <c r="Y400" s="16">
        <v>40</v>
      </c>
      <c r="Z400" s="16">
        <v>40</v>
      </c>
      <c r="AA400" s="16">
        <v>20</v>
      </c>
      <c r="AB400" s="16">
        <v>0</v>
      </c>
      <c r="AC400" s="16" t="s">
        <v>1031</v>
      </c>
      <c r="AD400" s="22">
        <v>39610</v>
      </c>
      <c r="AE400" s="23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</row>
    <row r="401" spans="1:84" s="2" customFormat="1" x14ac:dyDescent="0.2">
      <c r="A401" s="17" t="s">
        <v>3921</v>
      </c>
      <c r="B401" s="17" t="s">
        <v>45</v>
      </c>
      <c r="C401" s="17">
        <v>2025</v>
      </c>
      <c r="D401" s="17" t="str">
        <f t="array" ref="D401">_xlfn.SWITCH(E401,"Jatikalen","35.18.20","Kertosono", "35.18.08","Lengkong","35.18.19","Loceret","35.18.04","Tanjunganom","35.18.11","Wilangan","35.18.15")</f>
        <v>35.18.08</v>
      </c>
      <c r="E401" s="16" t="s">
        <v>128</v>
      </c>
      <c r="F401" s="33" t="s">
        <v>1032</v>
      </c>
      <c r="G401" s="33" t="s">
        <v>1033</v>
      </c>
      <c r="H401" s="16" t="s">
        <v>81</v>
      </c>
      <c r="I401" s="16">
        <v>10</v>
      </c>
      <c r="J401" s="16">
        <v>5</v>
      </c>
      <c r="K401" s="16">
        <f t="shared" si="7"/>
        <v>15</v>
      </c>
      <c r="L401" s="18">
        <v>75000000</v>
      </c>
      <c r="M401" s="17" t="s">
        <v>971</v>
      </c>
      <c r="N401" s="18">
        <v>25000</v>
      </c>
      <c r="O401" s="16" t="s">
        <v>972</v>
      </c>
      <c r="P401" s="30">
        <v>200000000</v>
      </c>
      <c r="Q401" s="17" t="s">
        <v>481</v>
      </c>
      <c r="R401" s="18">
        <v>10000</v>
      </c>
      <c r="S401" s="16" t="s">
        <v>972</v>
      </c>
      <c r="T401" s="30">
        <v>78625000</v>
      </c>
      <c r="U401" s="16" t="s">
        <v>22</v>
      </c>
      <c r="V401" s="16" t="s">
        <v>52</v>
      </c>
      <c r="W401" s="53">
        <v>4000</v>
      </c>
      <c r="X401" s="16" t="s">
        <v>143</v>
      </c>
      <c r="Y401" s="16">
        <v>80</v>
      </c>
      <c r="Z401" s="16">
        <v>20</v>
      </c>
      <c r="AA401" s="16">
        <v>0</v>
      </c>
      <c r="AB401" s="16">
        <v>0</v>
      </c>
      <c r="AC401" s="16" t="s">
        <v>1034</v>
      </c>
      <c r="AD401" s="22">
        <v>39615</v>
      </c>
      <c r="AE401" s="23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</row>
    <row r="402" spans="1:84" s="2" customFormat="1" x14ac:dyDescent="0.2">
      <c r="A402" s="17" t="s">
        <v>3921</v>
      </c>
      <c r="B402" s="17" t="s">
        <v>45</v>
      </c>
      <c r="C402" s="17">
        <v>2025</v>
      </c>
      <c r="D402" s="17" t="str">
        <f t="array" ref="D402">_xlfn.SWITCH(E402,"Jatikalen","35.18.20","Kertosono", "35.18.08","Lengkong","35.18.19","Loceret","35.18.04","Tanjunganom","35.18.11","Wilangan","35.18.15")</f>
        <v>35.18.19</v>
      </c>
      <c r="E402" s="16" t="s">
        <v>64</v>
      </c>
      <c r="F402" s="33" t="s">
        <v>709</v>
      </c>
      <c r="G402" s="33" t="s">
        <v>68</v>
      </c>
      <c r="H402" s="16" t="s">
        <v>47</v>
      </c>
      <c r="I402" s="16">
        <v>1</v>
      </c>
      <c r="J402" s="16">
        <v>6</v>
      </c>
      <c r="K402" s="16">
        <f t="shared" si="7"/>
        <v>7</v>
      </c>
      <c r="L402" s="18">
        <v>124200000</v>
      </c>
      <c r="M402" s="17" t="s">
        <v>48</v>
      </c>
      <c r="N402" s="18">
        <v>50</v>
      </c>
      <c r="O402" s="16" t="s">
        <v>51</v>
      </c>
      <c r="P402" s="30">
        <v>465000000</v>
      </c>
      <c r="Q402" s="17" t="s">
        <v>57</v>
      </c>
      <c r="R402" s="18">
        <v>56</v>
      </c>
      <c r="S402" s="16" t="s">
        <v>51</v>
      </c>
      <c r="T402" s="30">
        <v>210000000</v>
      </c>
      <c r="U402" s="16" t="s">
        <v>22</v>
      </c>
      <c r="V402" s="16" t="s">
        <v>52</v>
      </c>
      <c r="W402" s="16">
        <v>500</v>
      </c>
      <c r="X402" s="16" t="s">
        <v>53</v>
      </c>
      <c r="Y402" s="16">
        <v>60</v>
      </c>
      <c r="Z402" s="16">
        <v>40</v>
      </c>
      <c r="AA402" s="16">
        <v>0</v>
      </c>
      <c r="AB402" s="16">
        <v>0</v>
      </c>
      <c r="AC402" s="16" t="s">
        <v>1035</v>
      </c>
      <c r="AD402" s="22">
        <v>39616</v>
      </c>
      <c r="AE402" s="23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</row>
    <row r="403" spans="1:84" s="2" customFormat="1" x14ac:dyDescent="0.2">
      <c r="A403" s="17" t="s">
        <v>3921</v>
      </c>
      <c r="B403" s="17" t="s">
        <v>45</v>
      </c>
      <c r="C403" s="17">
        <v>2025</v>
      </c>
      <c r="D403" s="17" t="str">
        <f t="array" ref="D403">_xlfn.SWITCH(E403,"Jatikalen","35.18.20","Kertosono", "35.18.08","Lengkong","35.18.19","Loceret","35.18.04","Tanjunganom","35.18.11","Wilangan","35.18.15")</f>
        <v>35.18.11</v>
      </c>
      <c r="E403" s="16" t="s">
        <v>60</v>
      </c>
      <c r="F403" s="33" t="s">
        <v>1036</v>
      </c>
      <c r="G403" s="33" t="s">
        <v>1037</v>
      </c>
      <c r="H403" s="16" t="s">
        <v>47</v>
      </c>
      <c r="I403" s="16">
        <v>3</v>
      </c>
      <c r="J403" s="16">
        <v>7</v>
      </c>
      <c r="K403" s="16">
        <f t="shared" si="7"/>
        <v>10</v>
      </c>
      <c r="L403" s="18">
        <v>25000000</v>
      </c>
      <c r="M403" s="17" t="s">
        <v>190</v>
      </c>
      <c r="N403" s="18">
        <v>7500</v>
      </c>
      <c r="O403" s="16" t="s">
        <v>35</v>
      </c>
      <c r="P403" s="30">
        <v>87500000</v>
      </c>
      <c r="Q403" s="17" t="s">
        <v>1038</v>
      </c>
      <c r="R403" s="18">
        <v>3</v>
      </c>
      <c r="S403" s="16" t="s">
        <v>83</v>
      </c>
      <c r="T403" s="30">
        <v>41250000</v>
      </c>
      <c r="U403" s="16" t="s">
        <v>22</v>
      </c>
      <c r="V403" s="16">
        <v>0</v>
      </c>
      <c r="W403" s="16">
        <v>0</v>
      </c>
      <c r="X403" s="16">
        <v>0</v>
      </c>
      <c r="Y403" s="16">
        <v>55</v>
      </c>
      <c r="Z403" s="16">
        <v>45</v>
      </c>
      <c r="AA403" s="16">
        <v>0</v>
      </c>
      <c r="AB403" s="16">
        <v>0</v>
      </c>
      <c r="AC403" s="16" t="s">
        <v>1039</v>
      </c>
      <c r="AD403" s="22">
        <v>39616</v>
      </c>
      <c r="AE403" s="23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</row>
    <row r="404" spans="1:84" s="2" customFormat="1" x14ac:dyDescent="0.2">
      <c r="A404" s="17" t="s">
        <v>3921</v>
      </c>
      <c r="B404" s="17" t="s">
        <v>45</v>
      </c>
      <c r="C404" s="17">
        <v>2025</v>
      </c>
      <c r="D404" s="17" t="str">
        <f t="array" ref="D404">_xlfn.SWITCH(E404,"Bagor","35.18.14","Sukomoro",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04" s="16" t="s">
        <v>45</v>
      </c>
      <c r="F404" s="33" t="s">
        <v>1040</v>
      </c>
      <c r="G404" s="33" t="s">
        <v>1041</v>
      </c>
      <c r="H404" s="16" t="s">
        <v>47</v>
      </c>
      <c r="I404" s="16">
        <v>6</v>
      </c>
      <c r="J404" s="16">
        <v>2</v>
      </c>
      <c r="K404" s="16">
        <f t="shared" si="7"/>
        <v>8</v>
      </c>
      <c r="L404" s="18">
        <v>51391200</v>
      </c>
      <c r="M404" s="17" t="s">
        <v>444</v>
      </c>
      <c r="N404" s="18">
        <v>100000</v>
      </c>
      <c r="O404" s="16" t="s">
        <v>1042</v>
      </c>
      <c r="P404" s="30">
        <v>125000000</v>
      </c>
      <c r="Q404" s="17" t="s">
        <v>446</v>
      </c>
      <c r="R404" s="18">
        <v>900</v>
      </c>
      <c r="S404" s="16" t="s">
        <v>447</v>
      </c>
      <c r="T404" s="30">
        <v>52500000</v>
      </c>
      <c r="U404" s="16" t="s">
        <v>22</v>
      </c>
      <c r="V404" s="16">
        <v>0</v>
      </c>
      <c r="W404" s="16">
        <v>0</v>
      </c>
      <c r="X404" s="16">
        <v>0</v>
      </c>
      <c r="Y404" s="16">
        <v>80</v>
      </c>
      <c r="Z404" s="16">
        <v>20</v>
      </c>
      <c r="AA404" s="16">
        <v>0</v>
      </c>
      <c r="AB404" s="16">
        <v>0</v>
      </c>
      <c r="AC404" s="16" t="s">
        <v>1043</v>
      </c>
      <c r="AD404" s="22">
        <v>39617</v>
      </c>
      <c r="AE404" s="23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</row>
    <row r="405" spans="1:84" s="2" customFormat="1" x14ac:dyDescent="0.2">
      <c r="A405" s="17" t="s">
        <v>3921</v>
      </c>
      <c r="B405" s="17" t="s">
        <v>45</v>
      </c>
      <c r="C405" s="17">
        <v>2025</v>
      </c>
      <c r="D405" s="17" t="str">
        <f t="array" ref="D405">_xlfn.SWITCH(E405,"Bagor","35.18.14","Sukomoro",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05" s="16" t="s">
        <v>92</v>
      </c>
      <c r="F405" s="33" t="s">
        <v>448</v>
      </c>
      <c r="G405" s="33" t="s">
        <v>1044</v>
      </c>
      <c r="H405" s="16" t="s">
        <v>47</v>
      </c>
      <c r="I405" s="16">
        <v>12</v>
      </c>
      <c r="J405" s="16">
        <v>5</v>
      </c>
      <c r="K405" s="16">
        <f t="shared" si="7"/>
        <v>17</v>
      </c>
      <c r="L405" s="18">
        <v>10000000</v>
      </c>
      <c r="M405" s="17" t="s">
        <v>258</v>
      </c>
      <c r="N405" s="18">
        <v>33750</v>
      </c>
      <c r="O405" s="16" t="s">
        <v>835</v>
      </c>
      <c r="P405" s="30">
        <v>1012500000</v>
      </c>
      <c r="Q405" s="17" t="s">
        <v>260</v>
      </c>
      <c r="R405" s="18">
        <v>32500</v>
      </c>
      <c r="S405" s="16" t="s">
        <v>35</v>
      </c>
      <c r="T405" s="30">
        <v>469450000</v>
      </c>
      <c r="U405" s="16" t="s">
        <v>22</v>
      </c>
      <c r="V405" s="16">
        <v>0</v>
      </c>
      <c r="W405" s="16">
        <v>0</v>
      </c>
      <c r="X405" s="16">
        <v>0</v>
      </c>
      <c r="Y405" s="16">
        <v>40</v>
      </c>
      <c r="Z405" s="16">
        <v>30</v>
      </c>
      <c r="AA405" s="16">
        <v>30</v>
      </c>
      <c r="AB405" s="16">
        <v>0</v>
      </c>
      <c r="AC405" s="16" t="s">
        <v>1045</v>
      </c>
      <c r="AD405" s="22">
        <v>39618</v>
      </c>
      <c r="AE405" s="23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</row>
    <row r="406" spans="1:84" s="2" customFormat="1" x14ac:dyDescent="0.2">
      <c r="A406" s="17" t="s">
        <v>3921</v>
      </c>
      <c r="B406" s="17" t="s">
        <v>45</v>
      </c>
      <c r="C406" s="17">
        <v>2025</v>
      </c>
      <c r="D406" s="17" t="str">
        <f t="array" ref="D406">_xlfn.SWITCH(E406,"Bagor","35.18.14","Sukomoro",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406" s="16" t="s">
        <v>124</v>
      </c>
      <c r="F406" s="33" t="s">
        <v>1024</v>
      </c>
      <c r="G406" s="33" t="s">
        <v>1046</v>
      </c>
      <c r="H406" s="16" t="s">
        <v>81</v>
      </c>
      <c r="I406" s="16">
        <v>4</v>
      </c>
      <c r="J406" s="16">
        <v>3</v>
      </c>
      <c r="K406" s="16">
        <f t="shared" si="7"/>
        <v>7</v>
      </c>
      <c r="L406" s="18">
        <v>25000000</v>
      </c>
      <c r="M406" s="17" t="s">
        <v>1047</v>
      </c>
      <c r="N406" s="18">
        <v>300</v>
      </c>
      <c r="O406" s="16" t="s">
        <v>83</v>
      </c>
      <c r="P406" s="30">
        <v>750000000</v>
      </c>
      <c r="Q406" s="17" t="s">
        <v>1048</v>
      </c>
      <c r="R406" s="18">
        <v>600000</v>
      </c>
      <c r="S406" s="16" t="s">
        <v>1049</v>
      </c>
      <c r="T406" s="30">
        <v>132500000</v>
      </c>
      <c r="U406" s="16" t="s">
        <v>22</v>
      </c>
      <c r="V406" s="16">
        <v>0</v>
      </c>
      <c r="W406" s="16">
        <v>0</v>
      </c>
      <c r="X406" s="16">
        <v>0</v>
      </c>
      <c r="Y406" s="16">
        <v>50</v>
      </c>
      <c r="Z406" s="16">
        <v>50</v>
      </c>
      <c r="AA406" s="16">
        <v>0</v>
      </c>
      <c r="AB406" s="16">
        <v>0</v>
      </c>
      <c r="AC406" s="16" t="s">
        <v>1050</v>
      </c>
      <c r="AD406" s="22">
        <v>39631</v>
      </c>
      <c r="AE406" s="23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</row>
    <row r="407" spans="1:84" s="2" customFormat="1" x14ac:dyDescent="0.2">
      <c r="A407" s="17" t="s">
        <v>3921</v>
      </c>
      <c r="B407" s="17" t="s">
        <v>45</v>
      </c>
      <c r="C407" s="17">
        <v>2025</v>
      </c>
      <c r="D407" s="17" t="str">
        <f t="array" ref="D407">_xlfn.SWITCH(E407,"Bagor","35.18.14","Sukomoro",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407" s="16" t="s">
        <v>55</v>
      </c>
      <c r="F407" s="33" t="s">
        <v>54</v>
      </c>
      <c r="G407" s="33" t="s">
        <v>1051</v>
      </c>
      <c r="H407" s="16" t="s">
        <v>47</v>
      </c>
      <c r="I407" s="16">
        <v>3</v>
      </c>
      <c r="J407" s="16">
        <v>2</v>
      </c>
      <c r="K407" s="16">
        <f t="shared" si="7"/>
        <v>5</v>
      </c>
      <c r="L407" s="18">
        <v>21000000</v>
      </c>
      <c r="M407" s="17" t="s">
        <v>172</v>
      </c>
      <c r="N407" s="18">
        <v>24</v>
      </c>
      <c r="O407" s="16" t="s">
        <v>83</v>
      </c>
      <c r="P407" s="30">
        <v>48000000</v>
      </c>
      <c r="Q407" s="17" t="s">
        <v>173</v>
      </c>
      <c r="R407" s="18">
        <v>10</v>
      </c>
      <c r="S407" s="16" t="s">
        <v>83</v>
      </c>
      <c r="T407" s="30">
        <v>25750000</v>
      </c>
      <c r="U407" s="16" t="s">
        <v>22</v>
      </c>
      <c r="V407" s="16" t="s">
        <v>50</v>
      </c>
      <c r="W407" s="16">
        <v>110</v>
      </c>
      <c r="X407" s="16" t="s">
        <v>51</v>
      </c>
      <c r="Y407" s="16">
        <v>65</v>
      </c>
      <c r="Z407" s="16">
        <v>35</v>
      </c>
      <c r="AA407" s="16">
        <v>0</v>
      </c>
      <c r="AB407" s="16">
        <v>0</v>
      </c>
      <c r="AC407" s="16" t="s">
        <v>1052</v>
      </c>
      <c r="AD407" s="22">
        <v>39665</v>
      </c>
      <c r="AE407" s="23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</row>
    <row r="408" spans="1:84" s="2" customFormat="1" x14ac:dyDescent="0.2">
      <c r="A408" s="17" t="s">
        <v>3921</v>
      </c>
      <c r="B408" s="17" t="s">
        <v>45</v>
      </c>
      <c r="C408" s="17">
        <v>2025</v>
      </c>
      <c r="D408" s="17" t="str">
        <f t="array" ref="D408">_xlfn.SWITCH(E408,"Bagor","35.18.14","Sukomoro",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08" s="16" t="s">
        <v>157</v>
      </c>
      <c r="F408" s="33" t="s">
        <v>859</v>
      </c>
      <c r="G408" s="33" t="s">
        <v>1053</v>
      </c>
      <c r="H408" s="16" t="s">
        <v>81</v>
      </c>
      <c r="I408" s="16">
        <v>45</v>
      </c>
      <c r="J408" s="16">
        <v>3</v>
      </c>
      <c r="K408" s="16">
        <f t="shared" si="7"/>
        <v>48</v>
      </c>
      <c r="L408" s="18">
        <v>200000000</v>
      </c>
      <c r="M408" s="17" t="s">
        <v>986</v>
      </c>
      <c r="N408" s="18">
        <v>17500</v>
      </c>
      <c r="O408" s="16" t="s">
        <v>83</v>
      </c>
      <c r="P408" s="30">
        <v>23500000000</v>
      </c>
      <c r="Q408" s="17" t="s">
        <v>987</v>
      </c>
      <c r="R408" s="18">
        <v>20000</v>
      </c>
      <c r="S408" s="16" t="s">
        <v>83</v>
      </c>
      <c r="T408" s="45">
        <v>9725000000</v>
      </c>
      <c r="U408" s="16" t="s">
        <v>22</v>
      </c>
      <c r="V408" s="16">
        <v>0</v>
      </c>
      <c r="W408" s="16">
        <v>0</v>
      </c>
      <c r="X408" s="16">
        <v>0</v>
      </c>
      <c r="Y408" s="16">
        <v>40</v>
      </c>
      <c r="Z408" s="16">
        <v>40</v>
      </c>
      <c r="AA408" s="16">
        <v>20</v>
      </c>
      <c r="AB408" s="16">
        <v>0</v>
      </c>
      <c r="AC408" s="16" t="s">
        <v>1054</v>
      </c>
      <c r="AD408" s="22">
        <v>39680</v>
      </c>
      <c r="AE408" s="23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</row>
    <row r="409" spans="1:84" s="2" customFormat="1" x14ac:dyDescent="0.2">
      <c r="A409" s="17" t="s">
        <v>3921</v>
      </c>
      <c r="B409" s="17" t="s">
        <v>45</v>
      </c>
      <c r="C409" s="17">
        <v>2025</v>
      </c>
      <c r="D409" s="17" t="str">
        <f t="array" ref="D409">_xlfn.SWITCH(E409,"Jatikalen","35.18.20","Kertosono", "35.18.08","Lengkong","35.18.19","Loceret","35.18.04","Tanjunganom","35.18.11","Wilangan","35.18.15")</f>
        <v>35.18.11</v>
      </c>
      <c r="E409" s="16" t="s">
        <v>60</v>
      </c>
      <c r="F409" s="33" t="s">
        <v>907</v>
      </c>
      <c r="G409" s="33" t="s">
        <v>1055</v>
      </c>
      <c r="H409" s="16" t="s">
        <v>47</v>
      </c>
      <c r="I409" s="16">
        <v>1</v>
      </c>
      <c r="J409" s="16">
        <v>5</v>
      </c>
      <c r="K409" s="16">
        <f t="shared" si="7"/>
        <v>6</v>
      </c>
      <c r="L409" s="18">
        <v>51000000</v>
      </c>
      <c r="M409" s="17" t="s">
        <v>255</v>
      </c>
      <c r="N409" s="18">
        <v>100</v>
      </c>
      <c r="O409" s="16" t="s">
        <v>49</v>
      </c>
      <c r="P409" s="30">
        <v>250000000</v>
      </c>
      <c r="Q409" s="17" t="s">
        <v>96</v>
      </c>
      <c r="R409" s="18">
        <v>200</v>
      </c>
      <c r="S409" s="16" t="s">
        <v>33</v>
      </c>
      <c r="T409" s="30">
        <v>79850000</v>
      </c>
      <c r="U409" s="16" t="s">
        <v>22</v>
      </c>
      <c r="V409" s="16">
        <v>0</v>
      </c>
      <c r="W409" s="16">
        <v>0</v>
      </c>
      <c r="X409" s="16">
        <v>0</v>
      </c>
      <c r="Y409" s="16">
        <v>85</v>
      </c>
      <c r="Z409" s="16">
        <v>15</v>
      </c>
      <c r="AA409" s="16">
        <v>0</v>
      </c>
      <c r="AB409" s="16">
        <v>0</v>
      </c>
      <c r="AC409" s="16" t="s">
        <v>1056</v>
      </c>
      <c r="AD409" s="22">
        <v>39686</v>
      </c>
      <c r="AE409" s="23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</row>
    <row r="410" spans="1:84" s="2" customFormat="1" x14ac:dyDescent="0.2">
      <c r="A410" s="17" t="s">
        <v>3921</v>
      </c>
      <c r="B410" s="17" t="s">
        <v>45</v>
      </c>
      <c r="C410" s="17">
        <v>2025</v>
      </c>
      <c r="D410" s="17" t="str">
        <f t="array" ref="D410">_xlfn.SWITCH(E410,"Bagor","35.18.14","Sukomoro",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10" s="16" t="s">
        <v>29</v>
      </c>
      <c r="F410" s="33" t="s">
        <v>251</v>
      </c>
      <c r="G410" s="33" t="s">
        <v>1057</v>
      </c>
      <c r="H410" s="16" t="s">
        <v>81</v>
      </c>
      <c r="I410" s="16">
        <v>4</v>
      </c>
      <c r="J410" s="16">
        <v>2</v>
      </c>
      <c r="K410" s="16">
        <f t="shared" si="7"/>
        <v>6</v>
      </c>
      <c r="L410" s="18">
        <v>69100000</v>
      </c>
      <c r="M410" s="17" t="s">
        <v>1058</v>
      </c>
      <c r="N410" s="18">
        <v>250</v>
      </c>
      <c r="O410" s="16" t="s">
        <v>49</v>
      </c>
      <c r="P410" s="30">
        <v>62500000</v>
      </c>
      <c r="Q410" s="17" t="s">
        <v>1059</v>
      </c>
      <c r="R410" s="18">
        <v>100</v>
      </c>
      <c r="S410" s="16" t="s">
        <v>33</v>
      </c>
      <c r="T410" s="30">
        <v>29250000</v>
      </c>
      <c r="U410" s="16" t="s">
        <v>22</v>
      </c>
      <c r="V410" s="16">
        <v>0</v>
      </c>
      <c r="W410" s="16">
        <v>0</v>
      </c>
      <c r="X410" s="16">
        <v>0</v>
      </c>
      <c r="Y410" s="16">
        <v>60</v>
      </c>
      <c r="Z410" s="16">
        <v>40</v>
      </c>
      <c r="AA410" s="16">
        <v>0</v>
      </c>
      <c r="AB410" s="16">
        <v>0</v>
      </c>
      <c r="AC410" s="16" t="s">
        <v>1060</v>
      </c>
      <c r="AD410" s="22">
        <v>39687</v>
      </c>
      <c r="AE410" s="23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</row>
    <row r="411" spans="1:84" s="2" customFormat="1" x14ac:dyDescent="0.2">
      <c r="A411" s="17" t="s">
        <v>3921</v>
      </c>
      <c r="B411" s="17" t="s">
        <v>45</v>
      </c>
      <c r="C411" s="17">
        <v>2025</v>
      </c>
      <c r="D411" s="17" t="str">
        <f t="array" ref="D411">_xlfn.SWITCH(E411,"Jatikalen","35.18.20","Kertosono", "35.18.08","Lengkong","35.18.19","Loceret","35.18.04","Tanjunganom","35.18.11","Wilangan","35.18.15")</f>
        <v>35.18.08</v>
      </c>
      <c r="E411" s="16" t="s">
        <v>128</v>
      </c>
      <c r="F411" s="33" t="s">
        <v>1061</v>
      </c>
      <c r="G411" s="33" t="s">
        <v>1062</v>
      </c>
      <c r="H411" s="16" t="s">
        <v>47</v>
      </c>
      <c r="I411" s="16">
        <v>0</v>
      </c>
      <c r="J411" s="16">
        <v>2</v>
      </c>
      <c r="K411" s="16">
        <f t="shared" si="7"/>
        <v>2</v>
      </c>
      <c r="L411" s="18">
        <v>27950000</v>
      </c>
      <c r="M411" s="17" t="s">
        <v>72</v>
      </c>
      <c r="N411" s="18">
        <v>25</v>
      </c>
      <c r="O411" s="16" t="s">
        <v>51</v>
      </c>
      <c r="P411" s="30">
        <v>152000000</v>
      </c>
      <c r="Q411" s="17" t="s">
        <v>57</v>
      </c>
      <c r="R411" s="18">
        <v>30</v>
      </c>
      <c r="S411" s="16" t="s">
        <v>51</v>
      </c>
      <c r="T411" s="30">
        <v>79850000</v>
      </c>
      <c r="U411" s="16" t="s">
        <v>22</v>
      </c>
      <c r="V411" s="16">
        <v>0</v>
      </c>
      <c r="W411" s="16">
        <v>0</v>
      </c>
      <c r="X411" s="16">
        <v>0</v>
      </c>
      <c r="Y411" s="16">
        <v>80</v>
      </c>
      <c r="Z411" s="16">
        <v>20</v>
      </c>
      <c r="AA411" s="16">
        <v>0</v>
      </c>
      <c r="AB411" s="16">
        <v>0</v>
      </c>
      <c r="AC411" s="16" t="s">
        <v>1063</v>
      </c>
      <c r="AD411" s="22">
        <v>39784</v>
      </c>
      <c r="AE411" s="23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</row>
    <row r="412" spans="1:84" s="2" customFormat="1" x14ac:dyDescent="0.2">
      <c r="A412" s="17" t="s">
        <v>3921</v>
      </c>
      <c r="B412" s="17" t="s">
        <v>45</v>
      </c>
      <c r="C412" s="17">
        <v>2025</v>
      </c>
      <c r="D412" s="17" t="str">
        <f t="array" ref="D412">_xlfn.SWITCH(E412,"Jatikalen","35.18.20","Kertosono", "35.18.08","Lengkong","35.18.19","Loceret","35.18.04","Tanjunganom","35.18.11","Wilangan","35.18.15")</f>
        <v>35.18.11</v>
      </c>
      <c r="E412" s="16" t="s">
        <v>60</v>
      </c>
      <c r="F412" s="33" t="s">
        <v>170</v>
      </c>
      <c r="G412" s="33" t="s">
        <v>1064</v>
      </c>
      <c r="H412" s="16" t="s">
        <v>31</v>
      </c>
      <c r="I412" s="16">
        <v>4</v>
      </c>
      <c r="J412" s="16">
        <v>15</v>
      </c>
      <c r="K412" s="16">
        <f t="shared" si="7"/>
        <v>19</v>
      </c>
      <c r="L412" s="18">
        <v>30000000</v>
      </c>
      <c r="M412" s="17" t="s">
        <v>32</v>
      </c>
      <c r="N412" s="18">
        <v>6000000</v>
      </c>
      <c r="O412" s="16" t="s">
        <v>33</v>
      </c>
      <c r="P412" s="30">
        <v>2244000000</v>
      </c>
      <c r="Q412" s="17" t="s">
        <v>34</v>
      </c>
      <c r="R412" s="18">
        <v>600</v>
      </c>
      <c r="S412" s="16" t="s">
        <v>35</v>
      </c>
      <c r="T412" s="30">
        <v>824078000</v>
      </c>
      <c r="U412" s="16" t="s">
        <v>22</v>
      </c>
      <c r="V412" s="16">
        <v>0</v>
      </c>
      <c r="W412" s="16">
        <v>0</v>
      </c>
      <c r="X412" s="16">
        <v>0</v>
      </c>
      <c r="Y412" s="16">
        <v>40</v>
      </c>
      <c r="Z412" s="16">
        <v>60</v>
      </c>
      <c r="AA412" s="16">
        <v>0</v>
      </c>
      <c r="AB412" s="16">
        <v>0</v>
      </c>
      <c r="AC412" s="16" t="s">
        <v>1065</v>
      </c>
      <c r="AD412" s="34">
        <v>39744</v>
      </c>
      <c r="AE412" s="23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</row>
    <row r="413" spans="1:84" s="2" customFormat="1" x14ac:dyDescent="0.2">
      <c r="A413" s="17" t="s">
        <v>3921</v>
      </c>
      <c r="B413" s="17" t="s">
        <v>45</v>
      </c>
      <c r="C413" s="17">
        <v>2025</v>
      </c>
      <c r="D413" s="17" t="str">
        <f t="array" ref="D413">_xlfn.SWITCH(E413,"Bagor","35.18.14","Sukomoro",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413" s="16" t="s">
        <v>188</v>
      </c>
      <c r="F413" s="33" t="s">
        <v>615</v>
      </c>
      <c r="G413" s="33" t="s">
        <v>1066</v>
      </c>
      <c r="H413" s="16" t="s">
        <v>47</v>
      </c>
      <c r="I413" s="16">
        <v>1</v>
      </c>
      <c r="J413" s="16">
        <v>5</v>
      </c>
      <c r="K413" s="16">
        <f t="shared" si="7"/>
        <v>6</v>
      </c>
      <c r="L413" s="18">
        <v>40000000</v>
      </c>
      <c r="M413" s="17" t="s">
        <v>72</v>
      </c>
      <c r="N413" s="18">
        <v>40</v>
      </c>
      <c r="O413" s="16" t="s">
        <v>51</v>
      </c>
      <c r="P413" s="30">
        <v>265000000</v>
      </c>
      <c r="Q413" s="17" t="s">
        <v>57</v>
      </c>
      <c r="R413" s="18">
        <v>50</v>
      </c>
      <c r="S413" s="16" t="s">
        <v>51</v>
      </c>
      <c r="T413" s="30">
        <v>125000000</v>
      </c>
      <c r="U413" s="16" t="s">
        <v>22</v>
      </c>
      <c r="V413" s="16">
        <v>0</v>
      </c>
      <c r="W413" s="16">
        <v>0</v>
      </c>
      <c r="X413" s="16">
        <v>0</v>
      </c>
      <c r="Y413" s="16">
        <v>85</v>
      </c>
      <c r="Z413" s="16">
        <v>15</v>
      </c>
      <c r="AA413" s="16">
        <v>0</v>
      </c>
      <c r="AB413" s="16">
        <v>0</v>
      </c>
      <c r="AC413" s="16" t="s">
        <v>1067</v>
      </c>
      <c r="AD413" s="22">
        <v>39741</v>
      </c>
      <c r="AE413" s="23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</row>
    <row r="414" spans="1:84" s="2" customFormat="1" x14ac:dyDescent="0.2">
      <c r="A414" s="17" t="s">
        <v>3921</v>
      </c>
      <c r="B414" s="17" t="s">
        <v>45</v>
      </c>
      <c r="C414" s="17">
        <v>2025</v>
      </c>
      <c r="D414" s="17" t="str">
        <f t="array" ref="D414">_xlfn.SWITCH(E414,"Bagor","35.18.14","Sukomoro",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14" s="16" t="s">
        <v>45</v>
      </c>
      <c r="F414" s="33" t="s">
        <v>1068</v>
      </c>
      <c r="G414" s="33" t="s">
        <v>1069</v>
      </c>
      <c r="H414" s="16" t="s">
        <v>47</v>
      </c>
      <c r="I414" s="16">
        <v>22</v>
      </c>
      <c r="J414" s="16">
        <v>8</v>
      </c>
      <c r="K414" s="16">
        <f t="shared" si="7"/>
        <v>30</v>
      </c>
      <c r="L414" s="18">
        <v>200000000</v>
      </c>
      <c r="M414" s="17" t="s">
        <v>258</v>
      </c>
      <c r="N414" s="18">
        <v>60000</v>
      </c>
      <c r="O414" s="16" t="s">
        <v>259</v>
      </c>
      <c r="P414" s="30">
        <v>1754500000</v>
      </c>
      <c r="Q414" s="17" t="s">
        <v>1070</v>
      </c>
      <c r="R414" s="18">
        <v>55000</v>
      </c>
      <c r="S414" s="16" t="s">
        <v>35</v>
      </c>
      <c r="T414" s="30">
        <v>695750000</v>
      </c>
      <c r="U414" s="16" t="s">
        <v>22</v>
      </c>
      <c r="V414" s="16">
        <v>0</v>
      </c>
      <c r="W414" s="16">
        <v>0</v>
      </c>
      <c r="X414" s="16">
        <v>0</v>
      </c>
      <c r="Y414" s="16">
        <v>20</v>
      </c>
      <c r="Z414" s="16">
        <v>45</v>
      </c>
      <c r="AA414" s="16">
        <v>35</v>
      </c>
      <c r="AB414" s="16">
        <v>0</v>
      </c>
      <c r="AC414" s="16"/>
      <c r="AD414" s="24">
        <v>2007</v>
      </c>
      <c r="AE414" s="23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</row>
    <row r="415" spans="1:84" s="2" customFormat="1" x14ac:dyDescent="0.2">
      <c r="A415" s="17" t="s">
        <v>3921</v>
      </c>
      <c r="B415" s="17" t="s">
        <v>45</v>
      </c>
      <c r="C415" s="17">
        <v>2025</v>
      </c>
      <c r="D415" s="17" t="str">
        <f t="array" ref="D415">_xlfn.SWITCH(E415,"Jatikalen","35.18.20","Kertosono", "35.18.08","Lengkong","35.18.19","Loceret","35.18.04","Tanjunganom","35.18.11","Wilangan","35.18.15")</f>
        <v>35.18.11</v>
      </c>
      <c r="E415" s="16" t="s">
        <v>60</v>
      </c>
      <c r="F415" s="33" t="s">
        <v>1071</v>
      </c>
      <c r="G415" s="33" t="s">
        <v>1072</v>
      </c>
      <c r="H415" s="16" t="s">
        <v>31</v>
      </c>
      <c r="I415" s="16">
        <v>0</v>
      </c>
      <c r="J415" s="16">
        <v>2</v>
      </c>
      <c r="K415" s="16">
        <f t="shared" si="7"/>
        <v>2</v>
      </c>
      <c r="L415" s="18">
        <v>25000000</v>
      </c>
      <c r="M415" s="17" t="s">
        <v>1073</v>
      </c>
      <c r="N415" s="18">
        <v>600</v>
      </c>
      <c r="O415" s="16" t="s">
        <v>211</v>
      </c>
      <c r="P415" s="30">
        <v>45000000</v>
      </c>
      <c r="Q415" s="17" t="s">
        <v>1074</v>
      </c>
      <c r="R415" s="18">
        <v>1000</v>
      </c>
      <c r="S415" s="16" t="s">
        <v>97</v>
      </c>
      <c r="T415" s="30">
        <v>16750000</v>
      </c>
      <c r="U415" s="16" t="s">
        <v>22</v>
      </c>
      <c r="V415" s="16">
        <v>0</v>
      </c>
      <c r="W415" s="16">
        <v>0</v>
      </c>
      <c r="X415" s="16">
        <v>0</v>
      </c>
      <c r="Y415" s="16">
        <v>80</v>
      </c>
      <c r="Z415" s="16">
        <v>20</v>
      </c>
      <c r="AA415" s="16">
        <v>0</v>
      </c>
      <c r="AB415" s="16">
        <v>0</v>
      </c>
      <c r="AC415" s="16"/>
      <c r="AD415" s="24">
        <v>2008</v>
      </c>
      <c r="AE415" s="23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</row>
    <row r="416" spans="1:84" s="2" customFormat="1" x14ac:dyDescent="0.2">
      <c r="A416" s="17" t="s">
        <v>3921</v>
      </c>
      <c r="B416" s="17" t="s">
        <v>45</v>
      </c>
      <c r="C416" s="17">
        <v>2025</v>
      </c>
      <c r="D416" s="17" t="str">
        <f t="array" ref="D416">_xlfn.SWITCH(E416,"Jatikalen","35.18.20","Kertosono", "35.18.08","Lengkong","35.18.19","Loceret","35.18.04","Tanjunganom","35.18.11","Wilangan","35.18.15")</f>
        <v>35.18.04</v>
      </c>
      <c r="E416" s="16" t="s">
        <v>41</v>
      </c>
      <c r="F416" s="33" t="s">
        <v>41</v>
      </c>
      <c r="G416" s="33" t="s">
        <v>1075</v>
      </c>
      <c r="H416" s="16" t="s">
        <v>47</v>
      </c>
      <c r="I416" s="16">
        <v>0</v>
      </c>
      <c r="J416" s="16">
        <v>6</v>
      </c>
      <c r="K416" s="16">
        <f t="shared" si="7"/>
        <v>6</v>
      </c>
      <c r="L416" s="18">
        <v>50000000</v>
      </c>
      <c r="M416" s="17" t="s">
        <v>1076</v>
      </c>
      <c r="N416" s="18">
        <v>550</v>
      </c>
      <c r="O416" s="16" t="s">
        <v>229</v>
      </c>
      <c r="P416" s="30">
        <v>16500000</v>
      </c>
      <c r="Q416" s="17" t="s">
        <v>1077</v>
      </c>
      <c r="R416" s="18"/>
      <c r="S416" s="16" t="s">
        <v>231</v>
      </c>
      <c r="T416" s="30">
        <v>9250000</v>
      </c>
      <c r="U416" s="16" t="s">
        <v>22</v>
      </c>
      <c r="V416" s="16">
        <v>0</v>
      </c>
      <c r="W416" s="16">
        <v>0</v>
      </c>
      <c r="X416" s="16">
        <v>0</v>
      </c>
      <c r="Y416" s="16">
        <v>75</v>
      </c>
      <c r="Z416" s="16">
        <v>25</v>
      </c>
      <c r="AA416" s="16">
        <v>0</v>
      </c>
      <c r="AB416" s="16">
        <v>0</v>
      </c>
      <c r="AC416" s="16"/>
      <c r="AD416" s="24">
        <v>2008</v>
      </c>
      <c r="AE416" s="23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</row>
    <row r="417" spans="1:84" s="2" customFormat="1" x14ac:dyDescent="0.2">
      <c r="A417" s="17" t="s">
        <v>3921</v>
      </c>
      <c r="B417" s="17" t="s">
        <v>45</v>
      </c>
      <c r="C417" s="17">
        <v>2025</v>
      </c>
      <c r="D417" s="17" t="str">
        <f t="array" ref="D417">_xlfn.SWITCH(E417,"Bagor","35.18.14","Sukomoro",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17" s="16" t="s">
        <v>92</v>
      </c>
      <c r="F417" s="33" t="s">
        <v>448</v>
      </c>
      <c r="G417" s="33" t="s">
        <v>1078</v>
      </c>
      <c r="H417" s="16" t="s">
        <v>47</v>
      </c>
      <c r="I417" s="16">
        <v>7</v>
      </c>
      <c r="J417" s="16">
        <v>1</v>
      </c>
      <c r="K417" s="16">
        <f t="shared" si="7"/>
        <v>8</v>
      </c>
      <c r="L417" s="18">
        <v>100000000</v>
      </c>
      <c r="M417" s="17" t="s">
        <v>258</v>
      </c>
      <c r="N417" s="18">
        <v>31500</v>
      </c>
      <c r="O417" s="16" t="s">
        <v>835</v>
      </c>
      <c r="P417" s="30">
        <v>945000000</v>
      </c>
      <c r="Q417" s="17" t="s">
        <v>260</v>
      </c>
      <c r="R417" s="18">
        <v>30000</v>
      </c>
      <c r="S417" s="16" t="s">
        <v>35</v>
      </c>
      <c r="T417" s="30">
        <v>354850000</v>
      </c>
      <c r="U417" s="16" t="s">
        <v>22</v>
      </c>
      <c r="V417" s="16">
        <v>0</v>
      </c>
      <c r="W417" s="16">
        <v>0</v>
      </c>
      <c r="X417" s="16">
        <v>0</v>
      </c>
      <c r="Y417" s="16">
        <v>25</v>
      </c>
      <c r="Z417" s="16">
        <v>35</v>
      </c>
      <c r="AA417" s="16">
        <v>40</v>
      </c>
      <c r="AB417" s="16">
        <v>0</v>
      </c>
      <c r="AC417" s="16" t="s">
        <v>1079</v>
      </c>
      <c r="AD417" s="22">
        <v>39745</v>
      </c>
      <c r="AE417" s="23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</row>
    <row r="418" spans="1:84" s="2" customFormat="1" x14ac:dyDescent="0.2">
      <c r="A418" s="17" t="s">
        <v>3921</v>
      </c>
      <c r="B418" s="17" t="s">
        <v>45</v>
      </c>
      <c r="C418" s="17">
        <v>2025</v>
      </c>
      <c r="D418" s="17" t="str">
        <f t="array" ref="D418">_xlfn.SWITCH(E418,"Bagor","35.18.14","Sukomoro",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18" s="16" t="s">
        <v>71</v>
      </c>
      <c r="F418" s="33" t="s">
        <v>71</v>
      </c>
      <c r="G418" s="33" t="s">
        <v>1080</v>
      </c>
      <c r="H418" s="16" t="s">
        <v>81</v>
      </c>
      <c r="I418" s="16">
        <v>0</v>
      </c>
      <c r="J418" s="16">
        <v>10</v>
      </c>
      <c r="K418" s="16">
        <f t="shared" ref="K418:K481" si="8">J418+I418</f>
        <v>10</v>
      </c>
      <c r="L418" s="18">
        <v>175000000</v>
      </c>
      <c r="M418" s="17" t="s">
        <v>48</v>
      </c>
      <c r="N418" s="18">
        <v>160</v>
      </c>
      <c r="O418" s="16" t="s">
        <v>51</v>
      </c>
      <c r="P418" s="30">
        <v>1318500000</v>
      </c>
      <c r="Q418" s="17" t="s">
        <v>57</v>
      </c>
      <c r="R418" s="18">
        <v>175</v>
      </c>
      <c r="S418" s="16" t="s">
        <v>51</v>
      </c>
      <c r="T418" s="30">
        <v>595000000</v>
      </c>
      <c r="U418" s="16" t="s">
        <v>22</v>
      </c>
      <c r="V418" s="16" t="s">
        <v>52</v>
      </c>
      <c r="W418" s="16">
        <v>1750</v>
      </c>
      <c r="X418" s="16" t="s">
        <v>53</v>
      </c>
      <c r="Y418" s="16">
        <v>65</v>
      </c>
      <c r="Z418" s="16">
        <v>35</v>
      </c>
      <c r="AA418" s="16">
        <v>0</v>
      </c>
      <c r="AB418" s="16">
        <v>0</v>
      </c>
      <c r="AC418" s="16" t="s">
        <v>1081</v>
      </c>
      <c r="AD418" s="22">
        <v>39735</v>
      </c>
      <c r="AE418" s="23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</row>
    <row r="419" spans="1:84" s="2" customFormat="1" x14ac:dyDescent="0.2">
      <c r="A419" s="17" t="s">
        <v>3921</v>
      </c>
      <c r="B419" s="17" t="s">
        <v>45</v>
      </c>
      <c r="C419" s="17">
        <v>2025</v>
      </c>
      <c r="D419" s="17" t="str">
        <f t="array" ref="D419">_xlfn.SWITCH(E419,"Jatikalen","35.18.20","Kertosono", "35.18.08","Lengkong","35.18.19","Loceret","35.18.04","Tanjunganom","35.18.11","Wilangan","35.18.15")</f>
        <v>35.18.20</v>
      </c>
      <c r="E419" s="16" t="s">
        <v>1083</v>
      </c>
      <c r="F419" s="33" t="s">
        <v>1082</v>
      </c>
      <c r="G419" s="33" t="s">
        <v>1084</v>
      </c>
      <c r="H419" s="16" t="s">
        <v>47</v>
      </c>
      <c r="I419" s="16">
        <v>0</v>
      </c>
      <c r="J419" s="16">
        <v>4</v>
      </c>
      <c r="K419" s="16">
        <f t="shared" si="8"/>
        <v>4</v>
      </c>
      <c r="L419" s="18">
        <v>31500000</v>
      </c>
      <c r="M419" s="17" t="s">
        <v>48</v>
      </c>
      <c r="N419" s="18">
        <v>50</v>
      </c>
      <c r="O419" s="16" t="s">
        <v>51</v>
      </c>
      <c r="P419" s="30">
        <v>575000000</v>
      </c>
      <c r="Q419" s="17" t="s">
        <v>57</v>
      </c>
      <c r="R419" s="18">
        <v>60</v>
      </c>
      <c r="S419" s="16" t="s">
        <v>51</v>
      </c>
      <c r="T419" s="30">
        <v>210000000</v>
      </c>
      <c r="U419" s="16" t="s">
        <v>22</v>
      </c>
      <c r="V419" s="16" t="s">
        <v>52</v>
      </c>
      <c r="W419" s="16">
        <v>600</v>
      </c>
      <c r="X419" s="16" t="s">
        <v>53</v>
      </c>
      <c r="Y419" s="16">
        <v>55</v>
      </c>
      <c r="Z419" s="16">
        <v>45</v>
      </c>
      <c r="AA419" s="16">
        <v>0</v>
      </c>
      <c r="AB419" s="16">
        <v>0</v>
      </c>
      <c r="AC419" s="16" t="s">
        <v>1085</v>
      </c>
      <c r="AD419" s="22">
        <v>39735</v>
      </c>
      <c r="AE419" s="23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</row>
    <row r="420" spans="1:84" s="2" customFormat="1" x14ac:dyDescent="0.2">
      <c r="A420" s="17" t="s">
        <v>3921</v>
      </c>
      <c r="B420" s="17" t="s">
        <v>45</v>
      </c>
      <c r="C420" s="17">
        <v>2025</v>
      </c>
      <c r="D420" s="17" t="str">
        <f t="array" ref="D420">_xlfn.SWITCH(E420,"Bagor","35.18.14","Sukomoro",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20" s="16" t="s">
        <v>157</v>
      </c>
      <c r="F420" s="33" t="s">
        <v>165</v>
      </c>
      <c r="G420" s="33" t="s">
        <v>1086</v>
      </c>
      <c r="H420" s="16" t="s">
        <v>47</v>
      </c>
      <c r="I420" s="16">
        <v>0</v>
      </c>
      <c r="J420" s="16">
        <v>16</v>
      </c>
      <c r="K420" s="16">
        <f t="shared" si="8"/>
        <v>16</v>
      </c>
      <c r="L420" s="18">
        <v>100000000</v>
      </c>
      <c r="M420" s="17" t="s">
        <v>48</v>
      </c>
      <c r="N420" s="18">
        <v>50</v>
      </c>
      <c r="O420" s="16" t="s">
        <v>51</v>
      </c>
      <c r="P420" s="30">
        <v>545500000</v>
      </c>
      <c r="Q420" s="17" t="s">
        <v>57</v>
      </c>
      <c r="R420" s="18">
        <v>60</v>
      </c>
      <c r="S420" s="16" t="s">
        <v>51</v>
      </c>
      <c r="T420" s="30">
        <v>210000000</v>
      </c>
      <c r="U420" s="16" t="s">
        <v>22</v>
      </c>
      <c r="V420" s="16" t="s">
        <v>52</v>
      </c>
      <c r="W420" s="16">
        <v>600</v>
      </c>
      <c r="X420" s="16" t="s">
        <v>53</v>
      </c>
      <c r="Y420" s="16">
        <v>60</v>
      </c>
      <c r="Z420" s="16">
        <v>40</v>
      </c>
      <c r="AA420" s="16">
        <v>0</v>
      </c>
      <c r="AB420" s="16">
        <v>0</v>
      </c>
      <c r="AC420" s="16" t="s">
        <v>1087</v>
      </c>
      <c r="AD420" s="22">
        <v>39735</v>
      </c>
      <c r="AE420" s="23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</row>
    <row r="421" spans="1:84" s="2" customFormat="1" x14ac:dyDescent="0.2">
      <c r="A421" s="17" t="s">
        <v>3921</v>
      </c>
      <c r="B421" s="17" t="s">
        <v>45</v>
      </c>
      <c r="C421" s="17">
        <v>2025</v>
      </c>
      <c r="D421" s="17" t="str">
        <f t="array" ref="D421">_xlfn.SWITCH(E421,"Jatikalen","35.18.20","Kertosono", "35.18.08","Lengkong","35.18.19","Loceret","35.18.04","Tanjunganom","35.18.11","Wilangan","35.18.15")</f>
        <v>35.18.11</v>
      </c>
      <c r="E421" s="16" t="s">
        <v>60</v>
      </c>
      <c r="F421" s="33" t="s">
        <v>890</v>
      </c>
      <c r="G421" s="33" t="s">
        <v>1088</v>
      </c>
      <c r="H421" s="16" t="s">
        <v>47</v>
      </c>
      <c r="I421" s="16">
        <v>0</v>
      </c>
      <c r="J421" s="16">
        <v>4</v>
      </c>
      <c r="K421" s="16">
        <f t="shared" si="8"/>
        <v>4</v>
      </c>
      <c r="L421" s="18">
        <v>52000000</v>
      </c>
      <c r="M421" s="17" t="s">
        <v>48</v>
      </c>
      <c r="N421" s="18">
        <v>6</v>
      </c>
      <c r="O421" s="16" t="s">
        <v>51</v>
      </c>
      <c r="P421" s="30">
        <v>53500000</v>
      </c>
      <c r="Q421" s="17" t="s">
        <v>57</v>
      </c>
      <c r="R421" s="18">
        <v>8</v>
      </c>
      <c r="S421" s="16" t="s">
        <v>51</v>
      </c>
      <c r="T421" s="30">
        <v>28000000</v>
      </c>
      <c r="U421" s="16" t="s">
        <v>22</v>
      </c>
      <c r="V421" s="16" t="s">
        <v>52</v>
      </c>
      <c r="W421" s="16">
        <v>80</v>
      </c>
      <c r="X421" s="16" t="s">
        <v>53</v>
      </c>
      <c r="Y421" s="16">
        <v>90</v>
      </c>
      <c r="Z421" s="16">
        <v>10</v>
      </c>
      <c r="AA421" s="16">
        <v>0</v>
      </c>
      <c r="AB421" s="16">
        <v>0</v>
      </c>
      <c r="AC421" s="16" t="s">
        <v>1089</v>
      </c>
      <c r="AD421" s="22">
        <v>39734</v>
      </c>
      <c r="AE421" s="23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</row>
    <row r="422" spans="1:84" s="2" customFormat="1" x14ac:dyDescent="0.2">
      <c r="A422" s="17" t="s">
        <v>3921</v>
      </c>
      <c r="B422" s="17" t="s">
        <v>45</v>
      </c>
      <c r="C422" s="17">
        <v>2025</v>
      </c>
      <c r="D422" s="17" t="str">
        <f t="array" ref="D422">_xlfn.SWITCH(E422,"Bagor","35.18.14","Sukomoro",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22" s="16" t="s">
        <v>92</v>
      </c>
      <c r="F422" s="33" t="s">
        <v>136</v>
      </c>
      <c r="G422" s="33" t="s">
        <v>1090</v>
      </c>
      <c r="H422" s="16" t="s">
        <v>47</v>
      </c>
      <c r="I422" s="16">
        <v>0</v>
      </c>
      <c r="J422" s="16">
        <v>4</v>
      </c>
      <c r="K422" s="16">
        <f t="shared" si="8"/>
        <v>4</v>
      </c>
      <c r="L422" s="18">
        <v>40000000</v>
      </c>
      <c r="M422" s="17" t="s">
        <v>871</v>
      </c>
      <c r="N422" s="18">
        <v>120</v>
      </c>
      <c r="O422" s="16" t="s">
        <v>83</v>
      </c>
      <c r="P422" s="30">
        <v>256000000</v>
      </c>
      <c r="Q422" s="17" t="s">
        <v>57</v>
      </c>
      <c r="R422" s="18">
        <v>25</v>
      </c>
      <c r="S422" s="16" t="s">
        <v>51</v>
      </c>
      <c r="T422" s="30">
        <v>95500000</v>
      </c>
      <c r="U422" s="16" t="s">
        <v>22</v>
      </c>
      <c r="V422" s="16" t="s">
        <v>52</v>
      </c>
      <c r="W422" s="16">
        <v>250</v>
      </c>
      <c r="X422" s="16" t="s">
        <v>53</v>
      </c>
      <c r="Y422" s="16">
        <v>40</v>
      </c>
      <c r="Z422" s="16">
        <v>30</v>
      </c>
      <c r="AA422" s="16">
        <v>30</v>
      </c>
      <c r="AB422" s="16">
        <v>0</v>
      </c>
      <c r="AC422" s="16" t="s">
        <v>1091</v>
      </c>
      <c r="AD422" s="22">
        <v>39778</v>
      </c>
      <c r="AE422" s="23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</row>
    <row r="423" spans="1:84" s="2" customFormat="1" x14ac:dyDescent="0.2">
      <c r="A423" s="17" t="s">
        <v>3921</v>
      </c>
      <c r="B423" s="17" t="s">
        <v>45</v>
      </c>
      <c r="C423" s="17">
        <v>2025</v>
      </c>
      <c r="D423" s="17" t="str">
        <f t="array" ref="D423">_xlfn.SWITCH(E423,"Bagor","35.18.14","Sukomoro",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23" s="16" t="s">
        <v>45</v>
      </c>
      <c r="F423" s="33" t="s">
        <v>206</v>
      </c>
      <c r="G423" s="33" t="s">
        <v>1092</v>
      </c>
      <c r="H423" s="16" t="s">
        <v>31</v>
      </c>
      <c r="I423" s="16">
        <v>5</v>
      </c>
      <c r="J423" s="16">
        <v>2</v>
      </c>
      <c r="K423" s="16">
        <f t="shared" si="8"/>
        <v>7</v>
      </c>
      <c r="L423" s="18">
        <v>50000000</v>
      </c>
      <c r="M423" s="17" t="s">
        <v>32</v>
      </c>
      <c r="N423" s="18">
        <v>500000</v>
      </c>
      <c r="O423" s="16" t="s">
        <v>33</v>
      </c>
      <c r="P423" s="30">
        <v>207500000</v>
      </c>
      <c r="Q423" s="17" t="s">
        <v>34</v>
      </c>
      <c r="R423" s="18">
        <v>50</v>
      </c>
      <c r="S423" s="16" t="s">
        <v>35</v>
      </c>
      <c r="T423" s="30">
        <v>58915000</v>
      </c>
      <c r="U423" s="16" t="s">
        <v>22</v>
      </c>
      <c r="V423" s="16">
        <v>0</v>
      </c>
      <c r="W423" s="16">
        <v>0</v>
      </c>
      <c r="X423" s="16">
        <v>0</v>
      </c>
      <c r="Y423" s="16">
        <v>85</v>
      </c>
      <c r="Z423" s="16">
        <v>15</v>
      </c>
      <c r="AA423" s="16">
        <v>0</v>
      </c>
      <c r="AB423" s="16">
        <v>0</v>
      </c>
      <c r="AC423" s="26" t="s">
        <v>1093</v>
      </c>
      <c r="AD423" s="27" t="s">
        <v>1094</v>
      </c>
      <c r="AE423" s="23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</row>
    <row r="424" spans="1:84" s="2" customFormat="1" x14ac:dyDescent="0.2">
      <c r="A424" s="17" t="s">
        <v>3921</v>
      </c>
      <c r="B424" s="17" t="s">
        <v>45</v>
      </c>
      <c r="C424" s="17">
        <v>2025</v>
      </c>
      <c r="D424" s="17" t="str">
        <f t="array" ref="D424">_xlfn.SWITCH(E424,"Bagor","35.18.14","Sukomoro",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24" s="16" t="s">
        <v>92</v>
      </c>
      <c r="F424" s="33" t="s">
        <v>1095</v>
      </c>
      <c r="G424" s="33" t="s">
        <v>1096</v>
      </c>
      <c r="H424" s="16" t="s">
        <v>47</v>
      </c>
      <c r="I424" s="16">
        <v>13</v>
      </c>
      <c r="J424" s="16">
        <v>1</v>
      </c>
      <c r="K424" s="16">
        <f t="shared" si="8"/>
        <v>14</v>
      </c>
      <c r="L424" s="18">
        <v>124000000</v>
      </c>
      <c r="M424" s="17" t="s">
        <v>258</v>
      </c>
      <c r="N424" s="18">
        <v>20000</v>
      </c>
      <c r="O424" s="16" t="s">
        <v>835</v>
      </c>
      <c r="P424" s="30">
        <f>30000*N424</f>
        <v>600000000</v>
      </c>
      <c r="Q424" s="17" t="s">
        <v>260</v>
      </c>
      <c r="R424" s="18">
        <v>18000</v>
      </c>
      <c r="S424" s="16" t="s">
        <v>35</v>
      </c>
      <c r="T424" s="30">
        <v>250000000</v>
      </c>
      <c r="U424" s="16" t="s">
        <v>22</v>
      </c>
      <c r="V424" s="16">
        <v>0</v>
      </c>
      <c r="W424" s="16">
        <v>0</v>
      </c>
      <c r="X424" s="16">
        <v>0</v>
      </c>
      <c r="Y424" s="16">
        <v>30</v>
      </c>
      <c r="Z424" s="16">
        <v>40</v>
      </c>
      <c r="AA424" s="16">
        <v>30</v>
      </c>
      <c r="AB424" s="16">
        <v>0</v>
      </c>
      <c r="AC424" s="16" t="s">
        <v>1097</v>
      </c>
      <c r="AD424" s="22">
        <v>39786</v>
      </c>
      <c r="AE424" s="23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</row>
    <row r="425" spans="1:84" s="2" customFormat="1" x14ac:dyDescent="0.2">
      <c r="A425" s="17" t="s">
        <v>3921</v>
      </c>
      <c r="B425" s="17" t="s">
        <v>45</v>
      </c>
      <c r="C425" s="17">
        <v>2025</v>
      </c>
      <c r="D425" s="17" t="str">
        <f t="array" ref="D425">_xlfn.SWITCH(E425,"Jatikalen","35.18.20","Kertosono", "35.18.08","Lengkong","35.18.19","Loceret","35.18.04","Tanjunganom","35.18.11","Wilangan","35.18.15")</f>
        <v>35.18.08</v>
      </c>
      <c r="E425" s="16" t="s">
        <v>128</v>
      </c>
      <c r="F425" s="33" t="s">
        <v>1098</v>
      </c>
      <c r="G425" s="33" t="s">
        <v>1099</v>
      </c>
      <c r="H425" s="16" t="s">
        <v>47</v>
      </c>
      <c r="I425" s="16">
        <v>0</v>
      </c>
      <c r="J425" s="16">
        <v>6</v>
      </c>
      <c r="K425" s="16">
        <f t="shared" si="8"/>
        <v>6</v>
      </c>
      <c r="L425" s="18">
        <v>80000000</v>
      </c>
      <c r="M425" s="17" t="s">
        <v>48</v>
      </c>
      <c r="N425" s="18">
        <v>60</v>
      </c>
      <c r="O425" s="16" t="s">
        <v>51</v>
      </c>
      <c r="P425" s="30">
        <v>455000000</v>
      </c>
      <c r="Q425" s="17" t="s">
        <v>57</v>
      </c>
      <c r="R425" s="18">
        <v>65</v>
      </c>
      <c r="S425" s="16" t="s">
        <v>51</v>
      </c>
      <c r="T425" s="30">
        <v>245000000</v>
      </c>
      <c r="U425" s="16" t="s">
        <v>22</v>
      </c>
      <c r="V425" s="16" t="s">
        <v>52</v>
      </c>
      <c r="W425" s="16">
        <v>650</v>
      </c>
      <c r="X425" s="16" t="s">
        <v>53</v>
      </c>
      <c r="Y425" s="16">
        <v>65</v>
      </c>
      <c r="Z425" s="16">
        <v>35</v>
      </c>
      <c r="AA425" s="16">
        <v>0</v>
      </c>
      <c r="AB425" s="16">
        <v>0</v>
      </c>
      <c r="AC425" s="16" t="s">
        <v>1100</v>
      </c>
      <c r="AD425" s="22">
        <v>39786</v>
      </c>
      <c r="AE425" s="23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</row>
    <row r="426" spans="1:84" s="2" customFormat="1" x14ac:dyDescent="0.2">
      <c r="A426" s="17" t="s">
        <v>3921</v>
      </c>
      <c r="B426" s="17" t="s">
        <v>45</v>
      </c>
      <c r="C426" s="17">
        <v>2025</v>
      </c>
      <c r="D426" s="17" t="str">
        <f t="array" ref="D426">_xlfn.SWITCH(E426,"Bagor","35.18.14","Sukomoro",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26" s="16" t="s">
        <v>45</v>
      </c>
      <c r="F426" s="33" t="s">
        <v>1101</v>
      </c>
      <c r="G426" s="33" t="s">
        <v>1102</v>
      </c>
      <c r="H426" s="16" t="s">
        <v>31</v>
      </c>
      <c r="I426" s="16">
        <v>3</v>
      </c>
      <c r="J426" s="16">
        <v>0</v>
      </c>
      <c r="K426" s="16">
        <f t="shared" si="8"/>
        <v>3</v>
      </c>
      <c r="L426" s="18">
        <v>20000000</v>
      </c>
      <c r="M426" s="17" t="s">
        <v>904</v>
      </c>
      <c r="N426" s="18">
        <v>120</v>
      </c>
      <c r="O426" s="16" t="s">
        <v>35</v>
      </c>
      <c r="P426" s="30">
        <v>17500000</v>
      </c>
      <c r="Q426" s="17" t="s">
        <v>159</v>
      </c>
      <c r="R426" s="18">
        <v>125</v>
      </c>
      <c r="S426" s="16" t="s">
        <v>35</v>
      </c>
      <c r="T426" s="30">
        <v>8500000</v>
      </c>
      <c r="U426" s="16" t="s">
        <v>22</v>
      </c>
      <c r="V426" s="16">
        <v>0</v>
      </c>
      <c r="W426" s="16">
        <v>0</v>
      </c>
      <c r="X426" s="16">
        <v>0</v>
      </c>
      <c r="Y426" s="16">
        <v>65</v>
      </c>
      <c r="Z426" s="16">
        <v>35</v>
      </c>
      <c r="AA426" s="16">
        <v>0</v>
      </c>
      <c r="AB426" s="16">
        <v>0</v>
      </c>
      <c r="AC426" s="16" t="s">
        <v>1103</v>
      </c>
      <c r="AD426" s="22">
        <v>39784</v>
      </c>
      <c r="AE426" s="23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</row>
    <row r="427" spans="1:84" s="2" customFormat="1" x14ac:dyDescent="0.2">
      <c r="A427" s="17" t="s">
        <v>3921</v>
      </c>
      <c r="B427" s="17" t="s">
        <v>45</v>
      </c>
      <c r="C427" s="17">
        <v>2025</v>
      </c>
      <c r="D427" s="17" t="str">
        <f t="array" ref="D427">_xlfn.SWITCH(E427,"Bagor","35.18.14","Sukomoro",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27" s="16" t="s">
        <v>149</v>
      </c>
      <c r="F427" s="33" t="s">
        <v>165</v>
      </c>
      <c r="G427" s="33" t="s">
        <v>1104</v>
      </c>
      <c r="H427" s="16" t="s">
        <v>47</v>
      </c>
      <c r="I427" s="16">
        <v>2</v>
      </c>
      <c r="J427" s="16">
        <v>3</v>
      </c>
      <c r="K427" s="16">
        <f t="shared" si="8"/>
        <v>5</v>
      </c>
      <c r="L427" s="18">
        <v>50000000</v>
      </c>
      <c r="M427" s="17" t="s">
        <v>1105</v>
      </c>
      <c r="N427" s="18" t="s">
        <v>1106</v>
      </c>
      <c r="O427" s="16" t="s">
        <v>1107</v>
      </c>
      <c r="P427" s="30">
        <v>264000000</v>
      </c>
      <c r="Q427" s="17" t="s">
        <v>1108</v>
      </c>
      <c r="R427" s="18" t="s">
        <v>1109</v>
      </c>
      <c r="S427" s="16" t="s">
        <v>35</v>
      </c>
      <c r="T427" s="30">
        <v>134500000</v>
      </c>
      <c r="U427" s="16" t="s">
        <v>22</v>
      </c>
      <c r="V427" s="16" t="s">
        <v>52</v>
      </c>
      <c r="W427" s="16">
        <v>600</v>
      </c>
      <c r="X427" s="16" t="s">
        <v>53</v>
      </c>
      <c r="Y427" s="16">
        <v>70</v>
      </c>
      <c r="Z427" s="16">
        <v>30</v>
      </c>
      <c r="AA427" s="16">
        <v>0</v>
      </c>
      <c r="AB427" s="16">
        <v>0</v>
      </c>
      <c r="AC427" s="16" t="s">
        <v>1110</v>
      </c>
      <c r="AD427" s="22">
        <v>39812</v>
      </c>
      <c r="AE427" s="23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</row>
    <row r="428" spans="1:84" s="2" customFormat="1" x14ac:dyDescent="0.2">
      <c r="A428" s="17" t="s">
        <v>3921</v>
      </c>
      <c r="B428" s="17" t="s">
        <v>45</v>
      </c>
      <c r="C428" s="17">
        <v>2025</v>
      </c>
      <c r="D428" s="17" t="str">
        <f t="array" ref="D428">_xlfn.SWITCH(E428,"Bagor","35.18.14","Sukomoro",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28" s="16" t="s">
        <v>29</v>
      </c>
      <c r="F428" s="33" t="s">
        <v>196</v>
      </c>
      <c r="G428" s="33" t="s">
        <v>1111</v>
      </c>
      <c r="H428" s="16" t="s">
        <v>47</v>
      </c>
      <c r="I428" s="16">
        <v>0</v>
      </c>
      <c r="J428" s="16">
        <v>2</v>
      </c>
      <c r="K428" s="16">
        <f t="shared" si="8"/>
        <v>2</v>
      </c>
      <c r="L428" s="18">
        <v>10000000</v>
      </c>
      <c r="M428" s="17" t="s">
        <v>48</v>
      </c>
      <c r="N428" s="18">
        <v>20</v>
      </c>
      <c r="O428" s="16" t="s">
        <v>51</v>
      </c>
      <c r="P428" s="30">
        <v>153450000</v>
      </c>
      <c r="Q428" s="17" t="s">
        <v>57</v>
      </c>
      <c r="R428" s="18">
        <v>25</v>
      </c>
      <c r="S428" s="16" t="s">
        <v>51</v>
      </c>
      <c r="T428" s="30">
        <v>84000000</v>
      </c>
      <c r="U428" s="16" t="s">
        <v>22</v>
      </c>
      <c r="V428" s="16" t="s">
        <v>52</v>
      </c>
      <c r="W428" s="16">
        <v>250</v>
      </c>
      <c r="X428" s="16" t="s">
        <v>53</v>
      </c>
      <c r="Y428" s="16">
        <v>80</v>
      </c>
      <c r="Z428" s="16">
        <v>20</v>
      </c>
      <c r="AA428" s="16">
        <v>0</v>
      </c>
      <c r="AB428" s="16">
        <v>0</v>
      </c>
      <c r="AC428" s="16" t="s">
        <v>1112</v>
      </c>
      <c r="AD428" s="22">
        <v>39798</v>
      </c>
      <c r="AE428" s="23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</row>
    <row r="429" spans="1:84" s="2" customFormat="1" x14ac:dyDescent="0.2">
      <c r="A429" s="17" t="s">
        <v>3921</v>
      </c>
      <c r="B429" s="17" t="s">
        <v>45</v>
      </c>
      <c r="C429" s="17">
        <v>2025</v>
      </c>
      <c r="D429" s="17" t="str">
        <f t="array" ref="D429">_xlfn.SWITCH(E429,"Bagor","35.18.14","Sukomoro",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29" s="16" t="s">
        <v>45</v>
      </c>
      <c r="F429" s="33" t="s">
        <v>1113</v>
      </c>
      <c r="G429" s="33" t="s">
        <v>1114</v>
      </c>
      <c r="H429" s="16" t="s">
        <v>81</v>
      </c>
      <c r="I429" s="16">
        <v>3</v>
      </c>
      <c r="J429" s="16">
        <v>2</v>
      </c>
      <c r="K429" s="16">
        <f t="shared" si="8"/>
        <v>5</v>
      </c>
      <c r="L429" s="18">
        <v>50000000</v>
      </c>
      <c r="M429" s="17" t="s">
        <v>444</v>
      </c>
      <c r="N429" s="18">
        <v>12500</v>
      </c>
      <c r="O429" s="16" t="s">
        <v>445</v>
      </c>
      <c r="P429" s="30">
        <v>222500000</v>
      </c>
      <c r="Q429" s="17" t="s">
        <v>1115</v>
      </c>
      <c r="R429" s="18">
        <v>13500</v>
      </c>
      <c r="S429" s="16" t="s">
        <v>1116</v>
      </c>
      <c r="T429" s="30">
        <v>101250000</v>
      </c>
      <c r="U429" s="16" t="s">
        <v>22</v>
      </c>
      <c r="V429" s="16">
        <v>0</v>
      </c>
      <c r="W429" s="16">
        <v>0</v>
      </c>
      <c r="X429" s="16">
        <v>0</v>
      </c>
      <c r="Y429" s="16">
        <v>75</v>
      </c>
      <c r="Z429" s="16">
        <v>25</v>
      </c>
      <c r="AA429" s="16">
        <v>0</v>
      </c>
      <c r="AB429" s="16">
        <v>0</v>
      </c>
      <c r="AC429" s="16" t="s">
        <v>1117</v>
      </c>
      <c r="AD429" s="22">
        <v>39798</v>
      </c>
      <c r="AE429" s="23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</row>
    <row r="430" spans="1:84" s="2" customFormat="1" ht="20" x14ac:dyDescent="0.2">
      <c r="A430" s="17" t="s">
        <v>3921</v>
      </c>
      <c r="B430" s="17" t="s">
        <v>45</v>
      </c>
      <c r="C430" s="17">
        <v>2025</v>
      </c>
      <c r="D430" s="17" t="str">
        <f t="array" ref="D430">_xlfn.SWITCH(E430,"Jatikalen","35.18.20","Kertosono", "35.18.08","Lengkong","35.18.19","Loceret","35.18.04","Tanjunganom","35.18.11","Wilangan","35.18.15")</f>
        <v>35.18.04</v>
      </c>
      <c r="E430" s="16" t="s">
        <v>41</v>
      </c>
      <c r="F430" s="33" t="s">
        <v>1118</v>
      </c>
      <c r="G430" s="33" t="s">
        <v>1119</v>
      </c>
      <c r="H430" s="16" t="s">
        <v>47</v>
      </c>
      <c r="I430" s="16">
        <v>4</v>
      </c>
      <c r="J430" s="16">
        <v>0</v>
      </c>
      <c r="K430" s="16">
        <f t="shared" si="8"/>
        <v>4</v>
      </c>
      <c r="L430" s="18">
        <v>17600000</v>
      </c>
      <c r="M430" s="17" t="s">
        <v>1120</v>
      </c>
      <c r="N430" s="18">
        <v>23.2</v>
      </c>
      <c r="O430" s="16" t="s">
        <v>83</v>
      </c>
      <c r="P430" s="30">
        <f>N430*5000000</f>
        <v>116000000</v>
      </c>
      <c r="Q430" s="17" t="s">
        <v>1120</v>
      </c>
      <c r="R430" s="18">
        <v>11</v>
      </c>
      <c r="S430" s="16" t="s">
        <v>962</v>
      </c>
      <c r="T430" s="45">
        <f>11000*6000</f>
        <v>66000000</v>
      </c>
      <c r="U430" s="16" t="s">
        <v>22</v>
      </c>
      <c r="V430" s="16">
        <v>0</v>
      </c>
      <c r="W430" s="16">
        <v>0</v>
      </c>
      <c r="X430" s="16">
        <v>0</v>
      </c>
      <c r="Y430" s="16">
        <v>80</v>
      </c>
      <c r="Z430" s="16">
        <v>20</v>
      </c>
      <c r="AA430" s="16">
        <v>0</v>
      </c>
      <c r="AB430" s="16">
        <v>0</v>
      </c>
      <c r="AC430" s="16" t="s">
        <v>1121</v>
      </c>
      <c r="AD430" s="54" t="s">
        <v>1122</v>
      </c>
      <c r="AE430" s="23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</row>
    <row r="431" spans="1:84" s="2" customFormat="1" x14ac:dyDescent="0.2">
      <c r="A431" s="17" t="s">
        <v>3921</v>
      </c>
      <c r="B431" s="17" t="s">
        <v>45</v>
      </c>
      <c r="C431" s="17">
        <v>2025</v>
      </c>
      <c r="D431" s="17" t="str">
        <f t="array" ref="D431">_xlfn.SWITCH(E431,"Bagor","35.18.14","Sukomoro",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431" s="16" t="s">
        <v>55</v>
      </c>
      <c r="F431" s="33" t="s">
        <v>1123</v>
      </c>
      <c r="G431" s="33" t="s">
        <v>1124</v>
      </c>
      <c r="H431" s="16" t="s">
        <v>47</v>
      </c>
      <c r="I431" s="16">
        <v>5</v>
      </c>
      <c r="J431" s="16">
        <v>5</v>
      </c>
      <c r="K431" s="16">
        <f t="shared" si="8"/>
        <v>10</v>
      </c>
      <c r="L431" s="18">
        <v>15000000</v>
      </c>
      <c r="M431" s="17" t="s">
        <v>1073</v>
      </c>
      <c r="N431" s="18">
        <v>1500</v>
      </c>
      <c r="O431" s="16" t="s">
        <v>445</v>
      </c>
      <c r="P431" s="30">
        <f>N431*75000</f>
        <v>112500000</v>
      </c>
      <c r="Q431" s="17" t="s">
        <v>1125</v>
      </c>
      <c r="R431" s="18">
        <v>2500</v>
      </c>
      <c r="S431" s="16" t="s">
        <v>97</v>
      </c>
      <c r="T431" s="45">
        <f>R431*25000</f>
        <v>62500000</v>
      </c>
      <c r="U431" s="16" t="s">
        <v>22</v>
      </c>
      <c r="V431" s="16">
        <v>0</v>
      </c>
      <c r="W431" s="16">
        <v>0</v>
      </c>
      <c r="X431" s="16">
        <v>0</v>
      </c>
      <c r="Y431" s="16">
        <v>50</v>
      </c>
      <c r="Z431" s="16">
        <v>50</v>
      </c>
      <c r="AA431" s="16">
        <v>0</v>
      </c>
      <c r="AB431" s="16">
        <v>0</v>
      </c>
      <c r="AC431" s="16" t="s">
        <v>1126</v>
      </c>
      <c r="AD431" s="54" t="s">
        <v>1122</v>
      </c>
      <c r="AE431" s="23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</row>
    <row r="432" spans="1:84" s="2" customFormat="1" ht="20" x14ac:dyDescent="0.2">
      <c r="A432" s="17" t="s">
        <v>3921</v>
      </c>
      <c r="B432" s="17" t="s">
        <v>45</v>
      </c>
      <c r="C432" s="17">
        <v>2025</v>
      </c>
      <c r="D432" s="17" t="str">
        <f t="array" ref="D432">_xlfn.SWITCH(E432,"Bagor","35.18.14","Sukomoro",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32" s="16" t="s">
        <v>92</v>
      </c>
      <c r="F432" s="33" t="s">
        <v>1127</v>
      </c>
      <c r="G432" s="33" t="s">
        <v>1128</v>
      </c>
      <c r="H432" s="16" t="s">
        <v>47</v>
      </c>
      <c r="I432" s="16">
        <v>4</v>
      </c>
      <c r="J432" s="16">
        <v>16</v>
      </c>
      <c r="K432" s="16">
        <f t="shared" si="8"/>
        <v>20</v>
      </c>
      <c r="L432" s="18">
        <v>30000000</v>
      </c>
      <c r="M432" s="17" t="s">
        <v>258</v>
      </c>
      <c r="N432" s="18">
        <v>20000</v>
      </c>
      <c r="O432" s="16" t="s">
        <v>835</v>
      </c>
      <c r="P432" s="30">
        <f>29500*N432</f>
        <v>590000000</v>
      </c>
      <c r="Q432" s="17" t="s">
        <v>260</v>
      </c>
      <c r="R432" s="18" t="s">
        <v>1129</v>
      </c>
      <c r="S432" s="16" t="s">
        <v>1130</v>
      </c>
      <c r="T432" s="30">
        <f>3000000*70</f>
        <v>210000000</v>
      </c>
      <c r="U432" s="16" t="s">
        <v>22</v>
      </c>
      <c r="V432" s="16">
        <v>0</v>
      </c>
      <c r="W432" s="16">
        <v>0</v>
      </c>
      <c r="X432" s="16">
        <v>0</v>
      </c>
      <c r="Y432" s="16">
        <v>35</v>
      </c>
      <c r="Z432" s="16">
        <v>30</v>
      </c>
      <c r="AA432" s="16">
        <v>35</v>
      </c>
      <c r="AB432" s="16">
        <v>0</v>
      </c>
      <c r="AC432" s="16" t="s">
        <v>1131</v>
      </c>
      <c r="AD432" s="54" t="s">
        <v>1122</v>
      </c>
      <c r="AE432" s="23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</row>
    <row r="433" spans="1:84" s="2" customFormat="1" x14ac:dyDescent="0.2">
      <c r="A433" s="17" t="s">
        <v>3921</v>
      </c>
      <c r="B433" s="17" t="s">
        <v>45</v>
      </c>
      <c r="C433" s="17">
        <v>2025</v>
      </c>
      <c r="D433" s="17" t="str">
        <f t="array" ref="D433">_xlfn.SWITCH(E433,"Bagor","35.18.14","Sukomoro",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33" s="16" t="s">
        <v>29</v>
      </c>
      <c r="F433" s="33" t="s">
        <v>1132</v>
      </c>
      <c r="G433" s="33" t="s">
        <v>1133</v>
      </c>
      <c r="H433" s="16" t="s">
        <v>47</v>
      </c>
      <c r="I433" s="16">
        <v>8</v>
      </c>
      <c r="J433" s="16">
        <v>0</v>
      </c>
      <c r="K433" s="16">
        <f t="shared" si="8"/>
        <v>8</v>
      </c>
      <c r="L433" s="18">
        <v>50000000</v>
      </c>
      <c r="M433" s="17" t="s">
        <v>108</v>
      </c>
      <c r="N433" s="18">
        <v>35</v>
      </c>
      <c r="O433" s="16" t="s">
        <v>51</v>
      </c>
      <c r="P433" s="30">
        <f>10000000*N433</f>
        <v>350000000</v>
      </c>
      <c r="Q433" s="17" t="s">
        <v>50</v>
      </c>
      <c r="R433" s="18">
        <v>40</v>
      </c>
      <c r="S433" s="16" t="s">
        <v>51</v>
      </c>
      <c r="T433" s="30">
        <f>5000000*R433</f>
        <v>200000000</v>
      </c>
      <c r="U433" s="16" t="s">
        <v>22</v>
      </c>
      <c r="V433" s="16" t="s">
        <v>52</v>
      </c>
      <c r="W433" s="16">
        <v>450</v>
      </c>
      <c r="X433" s="16" t="s">
        <v>53</v>
      </c>
      <c r="Y433" s="16">
        <v>70</v>
      </c>
      <c r="Z433" s="16">
        <v>30</v>
      </c>
      <c r="AA433" s="16">
        <v>0</v>
      </c>
      <c r="AB433" s="16">
        <v>0</v>
      </c>
      <c r="AC433" s="16" t="s">
        <v>1134</v>
      </c>
      <c r="AD433" s="54" t="s">
        <v>1135</v>
      </c>
      <c r="AE433" s="23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</row>
    <row r="434" spans="1:84" s="2" customFormat="1" ht="20" x14ac:dyDescent="0.2">
      <c r="A434" s="17" t="s">
        <v>3921</v>
      </c>
      <c r="B434" s="17" t="s">
        <v>45</v>
      </c>
      <c r="C434" s="17">
        <v>2025</v>
      </c>
      <c r="D434" s="17" t="str">
        <f t="array" ref="D434">_xlfn.SWITCH(E434,"Bagor","35.18.14","Sukomoro",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34" s="16" t="s">
        <v>92</v>
      </c>
      <c r="F434" s="33" t="s">
        <v>1136</v>
      </c>
      <c r="G434" s="33" t="s">
        <v>1137</v>
      </c>
      <c r="H434" s="16" t="s">
        <v>47</v>
      </c>
      <c r="I434" s="16">
        <v>2</v>
      </c>
      <c r="J434" s="16">
        <v>20</v>
      </c>
      <c r="K434" s="16">
        <f t="shared" si="8"/>
        <v>22</v>
      </c>
      <c r="L434" s="18">
        <v>100000000</v>
      </c>
      <c r="M434" s="17" t="s">
        <v>258</v>
      </c>
      <c r="N434" s="18">
        <v>36000</v>
      </c>
      <c r="O434" s="16" t="s">
        <v>835</v>
      </c>
      <c r="P434" s="30">
        <f>N434*36000</f>
        <v>1296000000</v>
      </c>
      <c r="Q434" s="17" t="s">
        <v>260</v>
      </c>
      <c r="R434" s="18" t="s">
        <v>1138</v>
      </c>
      <c r="S434" s="16" t="s">
        <v>1130</v>
      </c>
      <c r="T434" s="30">
        <f>5500000*75</f>
        <v>412500000</v>
      </c>
      <c r="U434" s="16" t="s">
        <v>22</v>
      </c>
      <c r="V434" s="16">
        <v>0</v>
      </c>
      <c r="W434" s="16">
        <v>0</v>
      </c>
      <c r="X434" s="16">
        <v>0</v>
      </c>
      <c r="Y434" s="16">
        <v>30</v>
      </c>
      <c r="Z434" s="16">
        <v>30</v>
      </c>
      <c r="AA434" s="16">
        <v>40</v>
      </c>
      <c r="AB434" s="16">
        <v>0</v>
      </c>
      <c r="AC434" s="16" t="s">
        <v>1139</v>
      </c>
      <c r="AD434" s="54" t="s">
        <v>1140</v>
      </c>
      <c r="AE434" s="23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</row>
    <row r="435" spans="1:84" s="2" customFormat="1" x14ac:dyDescent="0.2">
      <c r="A435" s="17" t="s">
        <v>3921</v>
      </c>
      <c r="B435" s="17" t="s">
        <v>45</v>
      </c>
      <c r="C435" s="17">
        <v>2025</v>
      </c>
      <c r="D435" s="17" t="str">
        <f t="array" ref="D435">_xlfn.SWITCH(E435,"Bagor","35.18.14","Sukomoro",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435" s="16" t="s">
        <v>55</v>
      </c>
      <c r="F435" s="33" t="s">
        <v>1141</v>
      </c>
      <c r="G435" s="33" t="s">
        <v>1142</v>
      </c>
      <c r="H435" s="16" t="s">
        <v>47</v>
      </c>
      <c r="I435" s="16">
        <v>8</v>
      </c>
      <c r="J435" s="16">
        <v>0</v>
      </c>
      <c r="K435" s="16">
        <f t="shared" si="8"/>
        <v>8</v>
      </c>
      <c r="L435" s="18">
        <v>50000000</v>
      </c>
      <c r="M435" s="17" t="s">
        <v>108</v>
      </c>
      <c r="N435" s="18">
        <v>100</v>
      </c>
      <c r="O435" s="16" t="s">
        <v>51</v>
      </c>
      <c r="P435" s="30">
        <f>14000000*N435</f>
        <v>1400000000</v>
      </c>
      <c r="Q435" s="17" t="s">
        <v>212</v>
      </c>
      <c r="R435" s="18">
        <v>110</v>
      </c>
      <c r="S435" s="16" t="s">
        <v>51</v>
      </c>
      <c r="T435" s="30">
        <f>6900000*R435</f>
        <v>759000000</v>
      </c>
      <c r="U435" s="16" t="s">
        <v>22</v>
      </c>
      <c r="V435" s="16" t="s">
        <v>52</v>
      </c>
      <c r="W435" s="16">
        <v>1100</v>
      </c>
      <c r="X435" s="16" t="s">
        <v>53</v>
      </c>
      <c r="Y435" s="16">
        <v>75</v>
      </c>
      <c r="Z435" s="16">
        <v>25</v>
      </c>
      <c r="AA435" s="16">
        <v>0</v>
      </c>
      <c r="AB435" s="16">
        <v>0</v>
      </c>
      <c r="AC435" s="16" t="s">
        <v>1143</v>
      </c>
      <c r="AD435" s="54" t="s">
        <v>1144</v>
      </c>
      <c r="AE435" s="23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</row>
    <row r="436" spans="1:84" s="2" customFormat="1" x14ac:dyDescent="0.2">
      <c r="A436" s="17" t="s">
        <v>3921</v>
      </c>
      <c r="B436" s="17" t="s">
        <v>45</v>
      </c>
      <c r="C436" s="17">
        <v>2025</v>
      </c>
      <c r="D436" s="17" t="str">
        <f t="array" ref="D436">_xlfn.SWITCH(E436,"Bagor","35.18.14","Sukomoro",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36" s="16" t="s">
        <v>92</v>
      </c>
      <c r="F436" s="33" t="s">
        <v>1145</v>
      </c>
      <c r="G436" s="33" t="s">
        <v>1146</v>
      </c>
      <c r="H436" s="16" t="s">
        <v>81</v>
      </c>
      <c r="I436" s="16">
        <v>25</v>
      </c>
      <c r="J436" s="16">
        <v>0</v>
      </c>
      <c r="K436" s="16">
        <f t="shared" si="8"/>
        <v>25</v>
      </c>
      <c r="L436" s="18">
        <v>200000000</v>
      </c>
      <c r="M436" s="17" t="s">
        <v>1147</v>
      </c>
      <c r="N436" s="18">
        <v>3000</v>
      </c>
      <c r="O436" s="16" t="s">
        <v>83</v>
      </c>
      <c r="P436" s="30">
        <f>975000*N436</f>
        <v>2925000000</v>
      </c>
      <c r="Q436" s="17" t="s">
        <v>84</v>
      </c>
      <c r="R436" s="18">
        <v>4000</v>
      </c>
      <c r="S436" s="16" t="s">
        <v>83</v>
      </c>
      <c r="T436" s="30">
        <f>430000*R436</f>
        <v>1720000000</v>
      </c>
      <c r="U436" s="16" t="s">
        <v>22</v>
      </c>
      <c r="V436" s="16">
        <v>0</v>
      </c>
      <c r="W436" s="16">
        <v>0</v>
      </c>
      <c r="X436" s="16">
        <v>0</v>
      </c>
      <c r="Y436" s="16">
        <v>50</v>
      </c>
      <c r="Z436" s="16">
        <v>30</v>
      </c>
      <c r="AA436" s="16">
        <v>20</v>
      </c>
      <c r="AB436" s="16">
        <v>0</v>
      </c>
      <c r="AC436" s="16" t="s">
        <v>1148</v>
      </c>
      <c r="AD436" s="54" t="s">
        <v>1144</v>
      </c>
      <c r="AE436" s="23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</row>
    <row r="437" spans="1:84" s="2" customFormat="1" x14ac:dyDescent="0.2">
      <c r="A437" s="17" t="s">
        <v>3921</v>
      </c>
      <c r="B437" s="17" t="s">
        <v>45</v>
      </c>
      <c r="C437" s="17">
        <v>2025</v>
      </c>
      <c r="D437" s="17" t="str">
        <f t="array" ref="D437">_xlfn.SWITCH(E437,"Bagor","35.18.14","Sukomoro",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37" s="16" t="s">
        <v>71</v>
      </c>
      <c r="F437" s="33" t="s">
        <v>1149</v>
      </c>
      <c r="G437" s="33" t="s">
        <v>1150</v>
      </c>
      <c r="H437" s="16" t="s">
        <v>47</v>
      </c>
      <c r="I437" s="16">
        <v>4</v>
      </c>
      <c r="J437" s="16">
        <v>0</v>
      </c>
      <c r="K437" s="16">
        <f t="shared" si="8"/>
        <v>4</v>
      </c>
      <c r="L437" s="18">
        <v>75000000</v>
      </c>
      <c r="M437" s="17" t="s">
        <v>354</v>
      </c>
      <c r="N437" s="18">
        <v>1500</v>
      </c>
      <c r="O437" s="16" t="s">
        <v>143</v>
      </c>
      <c r="P437" s="30">
        <f>1200*1000000</f>
        <v>1200000000</v>
      </c>
      <c r="Q437" s="17" t="s">
        <v>1005</v>
      </c>
      <c r="R437" s="18">
        <v>50</v>
      </c>
      <c r="S437" s="16" t="s">
        <v>83</v>
      </c>
      <c r="T437" s="30">
        <v>600000000</v>
      </c>
      <c r="U437" s="16" t="s">
        <v>22</v>
      </c>
      <c r="V437" s="16" t="s">
        <v>50</v>
      </c>
      <c r="W437" s="16">
        <v>300</v>
      </c>
      <c r="X437" s="16" t="s">
        <v>51</v>
      </c>
      <c r="Y437" s="16">
        <v>50</v>
      </c>
      <c r="Z437" s="16">
        <v>50</v>
      </c>
      <c r="AA437" s="16">
        <v>0</v>
      </c>
      <c r="AB437" s="16">
        <v>0</v>
      </c>
      <c r="AC437" s="55" t="s">
        <v>1151</v>
      </c>
      <c r="AD437" s="56" t="s">
        <v>1152</v>
      </c>
      <c r="AE437" s="23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</row>
    <row r="438" spans="1:84" s="2" customFormat="1" x14ac:dyDescent="0.2">
      <c r="A438" s="17" t="s">
        <v>3921</v>
      </c>
      <c r="B438" s="17" t="s">
        <v>45</v>
      </c>
      <c r="C438" s="17">
        <v>2025</v>
      </c>
      <c r="D438" s="17" t="str">
        <f t="array" ref="D438">_xlfn.SWITCH(E438,"Bagor","35.18.14","Sukomoro",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438" s="16" t="s">
        <v>55</v>
      </c>
      <c r="F438" s="33" t="s">
        <v>1153</v>
      </c>
      <c r="G438" s="33" t="s">
        <v>1154</v>
      </c>
      <c r="H438" s="16" t="s">
        <v>31</v>
      </c>
      <c r="I438" s="16">
        <v>2</v>
      </c>
      <c r="J438" s="16">
        <v>0</v>
      </c>
      <c r="K438" s="16">
        <f t="shared" si="8"/>
        <v>2</v>
      </c>
      <c r="L438" s="18">
        <v>50000000</v>
      </c>
      <c r="M438" s="17" t="s">
        <v>32</v>
      </c>
      <c r="N438" s="18">
        <v>3000000</v>
      </c>
      <c r="O438" s="16" t="s">
        <v>33</v>
      </c>
      <c r="P438" s="30">
        <f>400*N438</f>
        <v>1200000000</v>
      </c>
      <c r="Q438" s="17" t="s">
        <v>34</v>
      </c>
      <c r="R438" s="18">
        <v>300</v>
      </c>
      <c r="S438" s="16" t="s">
        <v>35</v>
      </c>
      <c r="T438" s="30">
        <f>1125450*R438</f>
        <v>337635000</v>
      </c>
      <c r="U438" s="16" t="s">
        <v>22</v>
      </c>
      <c r="V438" s="16">
        <v>0</v>
      </c>
      <c r="W438" s="16">
        <v>0</v>
      </c>
      <c r="X438" s="16">
        <v>0</v>
      </c>
      <c r="Y438" s="16">
        <v>50</v>
      </c>
      <c r="Z438" s="16">
        <v>50</v>
      </c>
      <c r="AA438" s="16">
        <v>0</v>
      </c>
      <c r="AB438" s="16">
        <v>0</v>
      </c>
      <c r="AC438" s="16" t="s">
        <v>1155</v>
      </c>
      <c r="AD438" s="54" t="s">
        <v>1156</v>
      </c>
      <c r="AE438" s="23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</row>
    <row r="439" spans="1:84" s="2" customFormat="1" x14ac:dyDescent="0.2">
      <c r="A439" s="17" t="s">
        <v>3921</v>
      </c>
      <c r="B439" s="17" t="s">
        <v>45</v>
      </c>
      <c r="C439" s="17">
        <v>2025</v>
      </c>
      <c r="D439" s="17" t="str">
        <f t="array" ref="D439">_xlfn.SWITCH(E439,"Jatikalen","35.18.20","Kertosono", "35.18.08","Lengkong","35.18.19","Loceret","35.18.04","Tanjunganom","35.18.11","Wilangan","35.18.15")</f>
        <v>35.18.15</v>
      </c>
      <c r="E439" s="16" t="s">
        <v>1158</v>
      </c>
      <c r="F439" s="33" t="s">
        <v>1157</v>
      </c>
      <c r="G439" s="33" t="s">
        <v>1159</v>
      </c>
      <c r="H439" s="16" t="s">
        <v>47</v>
      </c>
      <c r="I439" s="16">
        <v>5</v>
      </c>
      <c r="J439" s="16">
        <v>0</v>
      </c>
      <c r="K439" s="16">
        <f t="shared" si="8"/>
        <v>5</v>
      </c>
      <c r="L439" s="18">
        <v>5000000</v>
      </c>
      <c r="M439" s="17" t="s">
        <v>108</v>
      </c>
      <c r="N439" s="18">
        <v>15</v>
      </c>
      <c r="O439" s="16" t="s">
        <v>51</v>
      </c>
      <c r="P439" s="30">
        <f>12750000*N439</f>
        <v>191250000</v>
      </c>
      <c r="Q439" s="17" t="s">
        <v>57</v>
      </c>
      <c r="R439" s="18">
        <v>20</v>
      </c>
      <c r="S439" s="16" t="s">
        <v>51</v>
      </c>
      <c r="T439" s="30">
        <f>5500000*R439</f>
        <v>110000000</v>
      </c>
      <c r="U439" s="16" t="s">
        <v>22</v>
      </c>
      <c r="V439" s="16" t="s">
        <v>52</v>
      </c>
      <c r="W439" s="16">
        <v>200</v>
      </c>
      <c r="X439" s="16" t="s">
        <v>53</v>
      </c>
      <c r="Y439" s="16">
        <v>50</v>
      </c>
      <c r="Z439" s="16">
        <v>50</v>
      </c>
      <c r="AA439" s="16">
        <v>0</v>
      </c>
      <c r="AB439" s="16">
        <v>0</v>
      </c>
      <c r="AC439" s="16" t="s">
        <v>1160</v>
      </c>
      <c r="AD439" s="54" t="s">
        <v>1161</v>
      </c>
      <c r="AE439" s="23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</row>
    <row r="440" spans="1:84" s="2" customFormat="1" x14ac:dyDescent="0.2">
      <c r="A440" s="17" t="s">
        <v>3921</v>
      </c>
      <c r="B440" s="17" t="s">
        <v>45</v>
      </c>
      <c r="C440" s="17">
        <v>2025</v>
      </c>
      <c r="D440" s="17" t="str">
        <f t="array" ref="D440">_xlfn.SWITCH(E440,"Jatikalen","35.18.20","Kertosono", "35.18.08","Lengkong","35.18.19","Loceret","35.18.04","Tanjunganom","35.18.11","Wilangan","35.18.15")</f>
        <v>35.18.11</v>
      </c>
      <c r="E440" s="16" t="s">
        <v>60</v>
      </c>
      <c r="F440" s="33" t="s">
        <v>1162</v>
      </c>
      <c r="G440" s="33" t="s">
        <v>1163</v>
      </c>
      <c r="H440" s="16" t="s">
        <v>81</v>
      </c>
      <c r="I440" s="16">
        <v>10</v>
      </c>
      <c r="J440" s="16">
        <v>0</v>
      </c>
      <c r="K440" s="16">
        <f t="shared" si="8"/>
        <v>10</v>
      </c>
      <c r="L440" s="18">
        <v>200000000</v>
      </c>
      <c r="M440" s="17" t="s">
        <v>1147</v>
      </c>
      <c r="N440" s="18">
        <v>10000</v>
      </c>
      <c r="O440" s="16" t="s">
        <v>83</v>
      </c>
      <c r="P440" s="30">
        <f>1050000*N440</f>
        <v>10500000000</v>
      </c>
      <c r="Q440" s="17" t="s">
        <v>84</v>
      </c>
      <c r="R440" s="18">
        <v>11000</v>
      </c>
      <c r="S440" s="16" t="s">
        <v>83</v>
      </c>
      <c r="T440" s="30">
        <f>440000*R440</f>
        <v>4840000000</v>
      </c>
      <c r="U440" s="16" t="s">
        <v>22</v>
      </c>
      <c r="V440" s="16">
        <v>0</v>
      </c>
      <c r="W440" s="16">
        <v>0</v>
      </c>
      <c r="X440" s="16">
        <v>0</v>
      </c>
      <c r="Y440" s="16">
        <v>50</v>
      </c>
      <c r="Z440" s="16">
        <v>50</v>
      </c>
      <c r="AA440" s="16">
        <v>0</v>
      </c>
      <c r="AB440" s="16">
        <v>0</v>
      </c>
      <c r="AC440" s="16" t="s">
        <v>1164</v>
      </c>
      <c r="AD440" s="54" t="s">
        <v>560</v>
      </c>
      <c r="AE440" s="23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</row>
    <row r="441" spans="1:84" s="2" customFormat="1" ht="20" x14ac:dyDescent="0.2">
      <c r="A441" s="17" t="s">
        <v>3921</v>
      </c>
      <c r="B441" s="17" t="s">
        <v>45</v>
      </c>
      <c r="C441" s="17">
        <v>2025</v>
      </c>
      <c r="D441" s="17" t="str">
        <f t="array" ref="D441">_xlfn.SWITCH(E441,"Bagor","35.18.14","Sukomoro",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41" s="16" t="s">
        <v>45</v>
      </c>
      <c r="F441" s="33" t="s">
        <v>1165</v>
      </c>
      <c r="G441" s="33" t="s">
        <v>1166</v>
      </c>
      <c r="H441" s="16" t="s">
        <v>47</v>
      </c>
      <c r="I441" s="16">
        <v>10</v>
      </c>
      <c r="J441" s="16">
        <v>40</v>
      </c>
      <c r="K441" s="16">
        <f t="shared" si="8"/>
        <v>50</v>
      </c>
      <c r="L441" s="18">
        <v>127700000</v>
      </c>
      <c r="M441" s="17" t="s">
        <v>258</v>
      </c>
      <c r="N441" s="18">
        <v>150000</v>
      </c>
      <c r="O441" s="16" t="s">
        <v>835</v>
      </c>
      <c r="P441" s="30">
        <f>N441*36000</f>
        <v>5400000000</v>
      </c>
      <c r="Q441" s="17" t="s">
        <v>260</v>
      </c>
      <c r="R441" s="18" t="s">
        <v>1167</v>
      </c>
      <c r="S441" s="16" t="s">
        <v>1130</v>
      </c>
      <c r="T441" s="30">
        <f>22000000*80</f>
        <v>1760000000</v>
      </c>
      <c r="U441" s="16" t="s">
        <v>22</v>
      </c>
      <c r="V441" s="16">
        <v>0</v>
      </c>
      <c r="W441" s="16">
        <v>0</v>
      </c>
      <c r="X441" s="16">
        <v>0</v>
      </c>
      <c r="Y441" s="16">
        <v>35</v>
      </c>
      <c r="Z441" s="16">
        <v>35</v>
      </c>
      <c r="AA441" s="16">
        <v>30</v>
      </c>
      <c r="AB441" s="16">
        <v>0</v>
      </c>
      <c r="AC441" s="16" t="s">
        <v>1168</v>
      </c>
      <c r="AD441" s="54" t="s">
        <v>560</v>
      </c>
      <c r="AE441" s="23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</row>
    <row r="442" spans="1:84" s="2" customFormat="1" x14ac:dyDescent="0.2">
      <c r="A442" s="17" t="s">
        <v>3921</v>
      </c>
      <c r="B442" s="17" t="s">
        <v>45</v>
      </c>
      <c r="C442" s="17">
        <v>2025</v>
      </c>
      <c r="D442" s="17" t="str">
        <f t="array" ref="D442">_xlfn.SWITCH(E442,"Jatikalen","35.18.20","Kertosono", "35.18.08","Lengkong","35.18.19","Loceret","35.18.04","Tanjunganom","35.18.11","Wilangan","35.18.15")</f>
        <v>35.18.04</v>
      </c>
      <c r="E442" s="16" t="s">
        <v>41</v>
      </c>
      <c r="F442" s="33" t="s">
        <v>1169</v>
      </c>
      <c r="G442" s="33" t="s">
        <v>1170</v>
      </c>
      <c r="H442" s="16" t="s">
        <v>47</v>
      </c>
      <c r="I442" s="16">
        <v>2</v>
      </c>
      <c r="J442" s="16">
        <v>2</v>
      </c>
      <c r="K442" s="16">
        <f t="shared" si="8"/>
        <v>4</v>
      </c>
      <c r="L442" s="18">
        <v>180000000</v>
      </c>
      <c r="M442" s="17" t="s">
        <v>258</v>
      </c>
      <c r="N442" s="18">
        <v>12000</v>
      </c>
      <c r="O442" s="16" t="s">
        <v>835</v>
      </c>
      <c r="P442" s="30">
        <f>N442*32000</f>
        <v>384000000</v>
      </c>
      <c r="Q442" s="17" t="s">
        <v>260</v>
      </c>
      <c r="R442" s="18" t="s">
        <v>1171</v>
      </c>
      <c r="S442" s="16" t="s">
        <v>1130</v>
      </c>
      <c r="T442" s="30">
        <f>2000000*70</f>
        <v>140000000</v>
      </c>
      <c r="U442" s="16" t="s">
        <v>22</v>
      </c>
      <c r="V442" s="16">
        <v>0</v>
      </c>
      <c r="W442" s="16">
        <v>0</v>
      </c>
      <c r="X442" s="16">
        <v>0</v>
      </c>
      <c r="Y442" s="16">
        <v>40</v>
      </c>
      <c r="Z442" s="16">
        <v>30</v>
      </c>
      <c r="AA442" s="16">
        <v>30</v>
      </c>
      <c r="AB442" s="16">
        <v>0</v>
      </c>
      <c r="AC442" s="16" t="s">
        <v>1172</v>
      </c>
      <c r="AD442" s="54" t="s">
        <v>1173</v>
      </c>
      <c r="AE442" s="23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</row>
    <row r="443" spans="1:84" s="2" customFormat="1" x14ac:dyDescent="0.2">
      <c r="A443" s="17" t="s">
        <v>3921</v>
      </c>
      <c r="B443" s="17" t="s">
        <v>45</v>
      </c>
      <c r="C443" s="17">
        <v>2025</v>
      </c>
      <c r="D443" s="17" t="str">
        <f t="array" ref="D443">_xlfn.SWITCH(E443,"Bagor","35.18.14","Sukomoro",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43" s="16" t="s">
        <v>103</v>
      </c>
      <c r="F443" s="33" t="s">
        <v>1174</v>
      </c>
      <c r="G443" s="33" t="s">
        <v>1175</v>
      </c>
      <c r="H443" s="16" t="s">
        <v>47</v>
      </c>
      <c r="I443" s="16">
        <v>5</v>
      </c>
      <c r="J443" s="16">
        <v>0</v>
      </c>
      <c r="K443" s="16">
        <f t="shared" si="8"/>
        <v>5</v>
      </c>
      <c r="L443" s="18">
        <v>20000000</v>
      </c>
      <c r="M443" s="17" t="s">
        <v>255</v>
      </c>
      <c r="N443" s="18">
        <v>24</v>
      </c>
      <c r="O443" s="16" t="s">
        <v>51</v>
      </c>
      <c r="P443" s="30">
        <f>633000*N443</f>
        <v>15192000</v>
      </c>
      <c r="Q443" s="17" t="s">
        <v>96</v>
      </c>
      <c r="R443" s="18">
        <v>32</v>
      </c>
      <c r="S443" s="16" t="s">
        <v>51</v>
      </c>
      <c r="T443" s="30">
        <f>250000*R443</f>
        <v>8000000</v>
      </c>
      <c r="U443" s="16" t="s">
        <v>22</v>
      </c>
      <c r="V443" s="16">
        <v>0</v>
      </c>
      <c r="W443" s="16">
        <v>0</v>
      </c>
      <c r="X443" s="16">
        <v>0</v>
      </c>
      <c r="Y443" s="16">
        <v>75</v>
      </c>
      <c r="Z443" s="16">
        <v>25</v>
      </c>
      <c r="AA443" s="16">
        <v>0</v>
      </c>
      <c r="AB443" s="16">
        <v>0</v>
      </c>
      <c r="AC443" s="16" t="s">
        <v>1176</v>
      </c>
      <c r="AD443" s="54" t="s">
        <v>1177</v>
      </c>
      <c r="AE443" s="23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</row>
    <row r="444" spans="1:84" s="2" customFormat="1" x14ac:dyDescent="0.2">
      <c r="A444" s="17" t="s">
        <v>3921</v>
      </c>
      <c r="B444" s="17" t="s">
        <v>45</v>
      </c>
      <c r="C444" s="17">
        <v>2025</v>
      </c>
      <c r="D444" s="17" t="str">
        <f t="array" ref="D444">_xlfn.SWITCH(E444,"Bagor","35.18.14","Sukomoro",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44" s="16" t="s">
        <v>71</v>
      </c>
      <c r="F444" s="33" t="s">
        <v>1178</v>
      </c>
      <c r="G444" s="33" t="s">
        <v>1179</v>
      </c>
      <c r="H444" s="16" t="s">
        <v>47</v>
      </c>
      <c r="I444" s="16">
        <v>4</v>
      </c>
      <c r="J444" s="16">
        <v>0</v>
      </c>
      <c r="K444" s="16">
        <f t="shared" si="8"/>
        <v>4</v>
      </c>
      <c r="L444" s="18">
        <v>30000000</v>
      </c>
      <c r="M444" s="17" t="s">
        <v>354</v>
      </c>
      <c r="N444" s="18">
        <v>1000</v>
      </c>
      <c r="O444" s="16" t="s">
        <v>143</v>
      </c>
      <c r="P444" s="30">
        <f>800*1000000</f>
        <v>800000000</v>
      </c>
      <c r="Q444" s="17" t="s">
        <v>1005</v>
      </c>
      <c r="R444" s="18">
        <v>34</v>
      </c>
      <c r="S444" s="16" t="s">
        <v>83</v>
      </c>
      <c r="T444" s="30">
        <f>34000*12000</f>
        <v>408000000</v>
      </c>
      <c r="U444" s="16" t="s">
        <v>22</v>
      </c>
      <c r="V444" s="16" t="s">
        <v>50</v>
      </c>
      <c r="W444" s="16">
        <v>250</v>
      </c>
      <c r="X444" s="16" t="s">
        <v>51</v>
      </c>
      <c r="Y444" s="16">
        <v>60</v>
      </c>
      <c r="Z444" s="16">
        <v>40</v>
      </c>
      <c r="AA444" s="16">
        <v>0</v>
      </c>
      <c r="AB444" s="16">
        <v>0</v>
      </c>
      <c r="AC444" s="16" t="s">
        <v>1180</v>
      </c>
      <c r="AD444" s="54" t="s">
        <v>1181</v>
      </c>
      <c r="AE444" s="23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</row>
    <row r="445" spans="1:84" s="2" customFormat="1" x14ac:dyDescent="0.2">
      <c r="A445" s="17" t="s">
        <v>3921</v>
      </c>
      <c r="B445" s="17" t="s">
        <v>45</v>
      </c>
      <c r="C445" s="17">
        <v>2025</v>
      </c>
      <c r="D445" s="17" t="str">
        <f t="array" ref="D445">_xlfn.SWITCH(E445,"Jatikalen","35.18.20","Kertosono", "35.18.08","Lengkong","35.18.19","Loceret","35.18.04","Tanjunganom","35.18.11","Wilangan","35.18.15")</f>
        <v>35.18.11</v>
      </c>
      <c r="E445" s="16" t="s">
        <v>60</v>
      </c>
      <c r="F445" s="33" t="s">
        <v>1182</v>
      </c>
      <c r="G445" s="33" t="s">
        <v>1183</v>
      </c>
      <c r="H445" s="16" t="s">
        <v>47</v>
      </c>
      <c r="I445" s="16">
        <v>1</v>
      </c>
      <c r="J445" s="16">
        <v>2</v>
      </c>
      <c r="K445" s="16">
        <f t="shared" si="8"/>
        <v>3</v>
      </c>
      <c r="L445" s="18">
        <v>64200000</v>
      </c>
      <c r="M445" s="17" t="s">
        <v>444</v>
      </c>
      <c r="N445" s="18">
        <v>100</v>
      </c>
      <c r="O445" s="16" t="s">
        <v>447</v>
      </c>
      <c r="P445" s="30">
        <v>85000000</v>
      </c>
      <c r="Q445" s="17" t="s">
        <v>446</v>
      </c>
      <c r="R445" s="18">
        <v>120</v>
      </c>
      <c r="S445" s="16" t="s">
        <v>447</v>
      </c>
      <c r="T445" s="30">
        <v>40000000</v>
      </c>
      <c r="U445" s="16" t="s">
        <v>22</v>
      </c>
      <c r="V445" s="16">
        <v>0</v>
      </c>
      <c r="W445" s="16">
        <v>0</v>
      </c>
      <c r="X445" s="16">
        <v>0</v>
      </c>
      <c r="Y445" s="16">
        <v>80</v>
      </c>
      <c r="Z445" s="16">
        <v>20</v>
      </c>
      <c r="AA445" s="16">
        <v>0</v>
      </c>
      <c r="AB445" s="16">
        <v>0</v>
      </c>
      <c r="AC445" s="16" t="s">
        <v>1184</v>
      </c>
      <c r="AD445" s="31">
        <v>40057</v>
      </c>
      <c r="AE445" s="23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</row>
    <row r="446" spans="1:84" s="2" customFormat="1" x14ac:dyDescent="0.2">
      <c r="A446" s="17" t="s">
        <v>3921</v>
      </c>
      <c r="B446" s="17" t="s">
        <v>45</v>
      </c>
      <c r="C446" s="17">
        <v>2025</v>
      </c>
      <c r="D446" s="17" t="str">
        <f t="array" ref="D446">_xlfn.SWITCH(E446,"Bagor","35.18.14","Sukomoro",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46" s="16" t="s">
        <v>71</v>
      </c>
      <c r="F446" s="33" t="s">
        <v>1185</v>
      </c>
      <c r="G446" s="33" t="s">
        <v>1186</v>
      </c>
      <c r="H446" s="16" t="s">
        <v>47</v>
      </c>
      <c r="I446" s="16">
        <v>11</v>
      </c>
      <c r="J446" s="16">
        <v>0</v>
      </c>
      <c r="K446" s="16">
        <f t="shared" si="8"/>
        <v>11</v>
      </c>
      <c r="L446" s="18">
        <v>150000000</v>
      </c>
      <c r="M446" s="17" t="s">
        <v>354</v>
      </c>
      <c r="N446" s="18">
        <v>3600</v>
      </c>
      <c r="O446" s="16" t="s">
        <v>422</v>
      </c>
      <c r="P446" s="30">
        <f>3600*350000</f>
        <v>1260000000</v>
      </c>
      <c r="Q446" s="17" t="s">
        <v>1005</v>
      </c>
      <c r="R446" s="18">
        <v>9.6</v>
      </c>
      <c r="S446" s="16" t="s">
        <v>83</v>
      </c>
      <c r="T446" s="45">
        <f>R446*52000</f>
        <v>499200</v>
      </c>
      <c r="U446" s="16" t="s">
        <v>22</v>
      </c>
      <c r="V446" s="16" t="s">
        <v>50</v>
      </c>
      <c r="W446" s="16">
        <v>100</v>
      </c>
      <c r="X446" s="16" t="s">
        <v>51</v>
      </c>
      <c r="Y446" s="16">
        <v>75</v>
      </c>
      <c r="Z446" s="16">
        <v>25</v>
      </c>
      <c r="AA446" s="16">
        <v>0</v>
      </c>
      <c r="AB446" s="16">
        <v>0</v>
      </c>
      <c r="AC446" s="16" t="s">
        <v>1187</v>
      </c>
      <c r="AD446" s="31">
        <v>40058</v>
      </c>
      <c r="AE446" s="23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</row>
    <row r="447" spans="1:84" s="2" customFormat="1" x14ac:dyDescent="0.2">
      <c r="A447" s="17" t="s">
        <v>3921</v>
      </c>
      <c r="B447" s="17" t="s">
        <v>45</v>
      </c>
      <c r="C447" s="17">
        <v>2025</v>
      </c>
      <c r="D447" s="17" t="str">
        <f t="array" ref="D447">_xlfn.SWITCH(E447,"Bagor","35.18.14","Sukomoro",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47" s="16" t="s">
        <v>92</v>
      </c>
      <c r="F447" s="33" t="s">
        <v>1188</v>
      </c>
      <c r="G447" s="33" t="s">
        <v>1189</v>
      </c>
      <c r="H447" s="16" t="s">
        <v>47</v>
      </c>
      <c r="I447" s="16">
        <v>4</v>
      </c>
      <c r="J447" s="16">
        <v>10</v>
      </c>
      <c r="K447" s="16">
        <f t="shared" si="8"/>
        <v>14</v>
      </c>
      <c r="L447" s="18">
        <v>100000000</v>
      </c>
      <c r="M447" s="17" t="s">
        <v>258</v>
      </c>
      <c r="N447" s="18">
        <v>150000</v>
      </c>
      <c r="O447" s="16" t="s">
        <v>835</v>
      </c>
      <c r="P447" s="30">
        <f>N447*38000</f>
        <v>5700000000</v>
      </c>
      <c r="Q447" s="17" t="s">
        <v>260</v>
      </c>
      <c r="R447" s="18" t="s">
        <v>1190</v>
      </c>
      <c r="S447" s="16" t="s">
        <v>1130</v>
      </c>
      <c r="T447" s="30">
        <f>18000000*100</f>
        <v>1800000000</v>
      </c>
      <c r="U447" s="16" t="s">
        <v>262</v>
      </c>
      <c r="V447" s="16">
        <v>0</v>
      </c>
      <c r="W447" s="16">
        <v>0</v>
      </c>
      <c r="X447" s="16">
        <v>0</v>
      </c>
      <c r="Y447" s="16">
        <v>30</v>
      </c>
      <c r="Z447" s="16">
        <v>30</v>
      </c>
      <c r="AA447" s="16">
        <v>40</v>
      </c>
      <c r="AB447" s="16">
        <v>0</v>
      </c>
      <c r="AC447" s="16" t="s">
        <v>1191</v>
      </c>
      <c r="AD447" s="31">
        <v>40060</v>
      </c>
      <c r="AE447" s="23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</row>
    <row r="448" spans="1:84" s="2" customFormat="1" x14ac:dyDescent="0.2">
      <c r="A448" s="17" t="s">
        <v>3921</v>
      </c>
      <c r="B448" s="17" t="s">
        <v>45</v>
      </c>
      <c r="C448" s="17">
        <v>2025</v>
      </c>
      <c r="D448" s="17" t="str">
        <f t="array" ref="D448">_xlfn.SWITCH(E448,"Bagor","35.18.14","Sukomoro",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48" s="16" t="s">
        <v>92</v>
      </c>
      <c r="F448" s="33" t="s">
        <v>1192</v>
      </c>
      <c r="G448" s="33" t="s">
        <v>1193</v>
      </c>
      <c r="H448" s="16" t="s">
        <v>31</v>
      </c>
      <c r="I448" s="16">
        <v>3</v>
      </c>
      <c r="J448" s="16">
        <v>0</v>
      </c>
      <c r="K448" s="16">
        <f t="shared" si="8"/>
        <v>3</v>
      </c>
      <c r="L448" s="18">
        <v>75000000</v>
      </c>
      <c r="M448" s="17" t="s">
        <v>1073</v>
      </c>
      <c r="N448" s="18">
        <v>30000</v>
      </c>
      <c r="O448" s="16" t="s">
        <v>1194</v>
      </c>
      <c r="P448" s="30">
        <f>N448*50000</f>
        <v>1500000000</v>
      </c>
      <c r="Q448" s="17" t="s">
        <v>1195</v>
      </c>
      <c r="R448" s="18">
        <v>35000</v>
      </c>
      <c r="S448" s="16" t="s">
        <v>97</v>
      </c>
      <c r="T448" s="45">
        <f>R448*25000</f>
        <v>875000000</v>
      </c>
      <c r="U448" s="16" t="s">
        <v>22</v>
      </c>
      <c r="V448" s="16">
        <v>0</v>
      </c>
      <c r="W448" s="16">
        <v>0</v>
      </c>
      <c r="X448" s="16">
        <v>0</v>
      </c>
      <c r="Y448" s="16">
        <v>80</v>
      </c>
      <c r="Z448" s="16">
        <v>20</v>
      </c>
      <c r="AA448" s="16">
        <v>0</v>
      </c>
      <c r="AB448" s="16">
        <v>0</v>
      </c>
      <c r="AC448" s="16" t="s">
        <v>1196</v>
      </c>
      <c r="AD448" s="31">
        <v>40060</v>
      </c>
      <c r="AE448" s="23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</row>
    <row r="449" spans="1:84" s="2" customFormat="1" x14ac:dyDescent="0.2">
      <c r="A449" s="17" t="s">
        <v>3921</v>
      </c>
      <c r="B449" s="17" t="s">
        <v>45</v>
      </c>
      <c r="C449" s="17">
        <v>2025</v>
      </c>
      <c r="D449" s="17" t="str">
        <f t="array" ref="D449">_xlfn.SWITCH(E449,"Bagor","35.18.14","Sukomoro",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49" s="16" t="s">
        <v>92</v>
      </c>
      <c r="F449" s="33" t="s">
        <v>1192</v>
      </c>
      <c r="G449" s="33" t="s">
        <v>1197</v>
      </c>
      <c r="H449" s="16" t="s">
        <v>47</v>
      </c>
      <c r="I449" s="16">
        <v>4</v>
      </c>
      <c r="J449" s="16">
        <v>0</v>
      </c>
      <c r="K449" s="16">
        <f t="shared" si="8"/>
        <v>4</v>
      </c>
      <c r="L449" s="18">
        <v>151000000</v>
      </c>
      <c r="M449" s="17" t="s">
        <v>72</v>
      </c>
      <c r="N449" s="18">
        <v>17</v>
      </c>
      <c r="O449" s="16" t="s">
        <v>51</v>
      </c>
      <c r="P449" s="30">
        <f>8000000*N449</f>
        <v>136000000</v>
      </c>
      <c r="Q449" s="17" t="s">
        <v>57</v>
      </c>
      <c r="R449" s="18">
        <v>23</v>
      </c>
      <c r="S449" s="16" t="s">
        <v>51</v>
      </c>
      <c r="T449" s="30">
        <f>3000000*R449</f>
        <v>69000000</v>
      </c>
      <c r="U449" s="16" t="s">
        <v>22</v>
      </c>
      <c r="V449" s="16">
        <v>0</v>
      </c>
      <c r="W449" s="16">
        <v>0</v>
      </c>
      <c r="X449" s="16">
        <v>0</v>
      </c>
      <c r="Y449" s="16">
        <v>75</v>
      </c>
      <c r="Z449" s="16">
        <v>25</v>
      </c>
      <c r="AA449" s="16">
        <v>0</v>
      </c>
      <c r="AB449" s="16">
        <v>0</v>
      </c>
      <c r="AC449" s="16" t="s">
        <v>1198</v>
      </c>
      <c r="AD449" s="31">
        <v>40064</v>
      </c>
      <c r="AE449" s="23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</row>
    <row r="450" spans="1:84" s="2" customFormat="1" x14ac:dyDescent="0.2">
      <c r="A450" s="17" t="s">
        <v>3921</v>
      </c>
      <c r="B450" s="17" t="s">
        <v>45</v>
      </c>
      <c r="C450" s="17">
        <v>2025</v>
      </c>
      <c r="D450" s="17" t="str">
        <f t="array" ref="D450">_xlfn.SWITCH(E450,"Bagor","35.18.14","Sukomoro",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50" s="16" t="s">
        <v>71</v>
      </c>
      <c r="F450" s="33" t="s">
        <v>1199</v>
      </c>
      <c r="G450" s="33" t="s">
        <v>1200</v>
      </c>
      <c r="H450" s="16" t="s">
        <v>47</v>
      </c>
      <c r="I450" s="16">
        <v>8</v>
      </c>
      <c r="J450" s="16">
        <v>2</v>
      </c>
      <c r="K450" s="16">
        <f t="shared" si="8"/>
        <v>10</v>
      </c>
      <c r="L450" s="18">
        <v>100000000</v>
      </c>
      <c r="M450" s="17" t="s">
        <v>354</v>
      </c>
      <c r="N450" s="18">
        <v>3000</v>
      </c>
      <c r="O450" s="16" t="s">
        <v>422</v>
      </c>
      <c r="P450" s="30">
        <f>N450*350000</f>
        <v>1050000000</v>
      </c>
      <c r="Q450" s="17" t="s">
        <v>1005</v>
      </c>
      <c r="R450" s="18">
        <v>6</v>
      </c>
      <c r="S450" s="16" t="s">
        <v>83</v>
      </c>
      <c r="T450" s="45">
        <f>R450*50000</f>
        <v>300000</v>
      </c>
      <c r="U450" s="16" t="s">
        <v>22</v>
      </c>
      <c r="V450" s="16" t="s">
        <v>50</v>
      </c>
      <c r="W450" s="16">
        <v>50</v>
      </c>
      <c r="X450" s="16" t="s">
        <v>51</v>
      </c>
      <c r="Y450" s="16">
        <v>80</v>
      </c>
      <c r="Z450" s="16">
        <v>20</v>
      </c>
      <c r="AA450" s="16">
        <v>0</v>
      </c>
      <c r="AB450" s="16">
        <v>0</v>
      </c>
      <c r="AC450" s="16" t="s">
        <v>1201</v>
      </c>
      <c r="AD450" s="31">
        <v>40071</v>
      </c>
      <c r="AE450" s="23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</row>
    <row r="451" spans="1:84" s="2" customFormat="1" x14ac:dyDescent="0.2">
      <c r="A451" s="17" t="s">
        <v>3921</v>
      </c>
      <c r="B451" s="17" t="s">
        <v>45</v>
      </c>
      <c r="C451" s="17">
        <v>2025</v>
      </c>
      <c r="D451" s="17" t="str">
        <f t="array" ref="D451">_xlfn.SWITCH(E451,"Jatikalen","35.18.20","Kertosono", "35.18.08","Lengkong","35.18.19","Loceret","35.18.04","Tanjunganom","35.18.11","Wilangan","35.18.15")</f>
        <v>35.18.04</v>
      </c>
      <c r="E451" s="16" t="s">
        <v>41</v>
      </c>
      <c r="F451" s="33" t="s">
        <v>1202</v>
      </c>
      <c r="G451" s="33" t="s">
        <v>1203</v>
      </c>
      <c r="H451" s="16" t="s">
        <v>47</v>
      </c>
      <c r="I451" s="16">
        <v>5</v>
      </c>
      <c r="J451" s="16">
        <v>10</v>
      </c>
      <c r="K451" s="16">
        <f t="shared" si="8"/>
        <v>15</v>
      </c>
      <c r="L451" s="18">
        <v>150000000</v>
      </c>
      <c r="M451" s="17" t="s">
        <v>258</v>
      </c>
      <c r="N451" s="18">
        <v>6000</v>
      </c>
      <c r="O451" s="16" t="s">
        <v>835</v>
      </c>
      <c r="P451" s="30">
        <f>N451*30000</f>
        <v>180000000</v>
      </c>
      <c r="Q451" s="17" t="s">
        <v>260</v>
      </c>
      <c r="R451" s="18" t="s">
        <v>1204</v>
      </c>
      <c r="S451" s="16" t="s">
        <v>1130</v>
      </c>
      <c r="T451" s="30">
        <f>1000000*70</f>
        <v>70000000</v>
      </c>
      <c r="U451" s="16" t="s">
        <v>22</v>
      </c>
      <c r="V451" s="16">
        <v>0</v>
      </c>
      <c r="W451" s="16">
        <v>0</v>
      </c>
      <c r="X451" s="16">
        <v>0</v>
      </c>
      <c r="Y451" s="16">
        <v>80</v>
      </c>
      <c r="Z451" s="16">
        <v>20</v>
      </c>
      <c r="AA451" s="16">
        <v>0</v>
      </c>
      <c r="AB451" s="16">
        <v>0</v>
      </c>
      <c r="AC451" s="16" t="s">
        <v>1205</v>
      </c>
      <c r="AD451" s="31" t="s">
        <v>1206</v>
      </c>
      <c r="AE451" s="23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</row>
    <row r="452" spans="1:84" s="2" customFormat="1" x14ac:dyDescent="0.2">
      <c r="A452" s="17" t="s">
        <v>3921</v>
      </c>
      <c r="B452" s="17" t="s">
        <v>45</v>
      </c>
      <c r="C452" s="17">
        <v>2025</v>
      </c>
      <c r="D452" s="17" t="str">
        <f t="array" ref="D452">_xlfn.SWITCH(E452,"Bagor","35.18.14","Sukomoro",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52" s="16" t="s">
        <v>149</v>
      </c>
      <c r="F452" s="33" t="s">
        <v>1207</v>
      </c>
      <c r="G452" s="33" t="s">
        <v>1208</v>
      </c>
      <c r="H452" s="16" t="s">
        <v>47</v>
      </c>
      <c r="I452" s="16">
        <v>4</v>
      </c>
      <c r="J452" s="16">
        <v>0</v>
      </c>
      <c r="K452" s="16">
        <f t="shared" si="8"/>
        <v>4</v>
      </c>
      <c r="L452" s="18">
        <v>36320000</v>
      </c>
      <c r="M452" s="17" t="s">
        <v>108</v>
      </c>
      <c r="N452" s="18">
        <v>48</v>
      </c>
      <c r="O452" s="16" t="s">
        <v>51</v>
      </c>
      <c r="P452" s="30">
        <f>17500000*N452</f>
        <v>840000000</v>
      </c>
      <c r="Q452" s="17" t="s">
        <v>212</v>
      </c>
      <c r="R452" s="18">
        <v>55</v>
      </c>
      <c r="S452" s="16" t="s">
        <v>51</v>
      </c>
      <c r="T452" s="30">
        <f>7500000*R452</f>
        <v>412500000</v>
      </c>
      <c r="U452" s="16" t="s">
        <v>22</v>
      </c>
      <c r="V452" s="16" t="s">
        <v>52</v>
      </c>
      <c r="W452" s="16">
        <v>500</v>
      </c>
      <c r="X452" s="16" t="s">
        <v>53</v>
      </c>
      <c r="Y452" s="16">
        <v>80</v>
      </c>
      <c r="Z452" s="16">
        <v>20</v>
      </c>
      <c r="AA452" s="16">
        <v>0</v>
      </c>
      <c r="AB452" s="16">
        <v>0</v>
      </c>
      <c r="AC452" s="16" t="s">
        <v>1209</v>
      </c>
      <c r="AD452" s="31" t="s">
        <v>1210</v>
      </c>
      <c r="AE452" s="23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</row>
    <row r="453" spans="1:84" ht="20" x14ac:dyDescent="0.2">
      <c r="A453" s="17" t="s">
        <v>3921</v>
      </c>
      <c r="B453" s="17" t="s">
        <v>45</v>
      </c>
      <c r="C453" s="17">
        <v>2025</v>
      </c>
      <c r="D453" s="17" t="str">
        <f t="array" ref="D453">_xlfn.SWITCH(E453,"Bagor","35.18.14","Sukomoro",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53" s="16" t="s">
        <v>45</v>
      </c>
      <c r="F453" s="33" t="s">
        <v>1211</v>
      </c>
      <c r="G453" s="33" t="s">
        <v>1212</v>
      </c>
      <c r="H453" s="16" t="s">
        <v>47</v>
      </c>
      <c r="I453" s="16">
        <v>4</v>
      </c>
      <c r="J453" s="16">
        <v>0</v>
      </c>
      <c r="K453" s="16">
        <f t="shared" si="8"/>
        <v>4</v>
      </c>
      <c r="L453" s="18">
        <v>25000000</v>
      </c>
      <c r="M453" s="17" t="s">
        <v>255</v>
      </c>
      <c r="N453" s="18">
        <v>750</v>
      </c>
      <c r="O453" s="16" t="s">
        <v>51</v>
      </c>
      <c r="P453" s="30">
        <f>725550*N453</f>
        <v>544162500</v>
      </c>
      <c r="Q453" s="17" t="s">
        <v>96</v>
      </c>
      <c r="R453" s="18">
        <v>1000</v>
      </c>
      <c r="S453" s="16" t="s">
        <v>51</v>
      </c>
      <c r="T453" s="30">
        <f>280000*R453</f>
        <v>280000000</v>
      </c>
      <c r="U453" s="16" t="s">
        <v>22</v>
      </c>
      <c r="V453" s="16">
        <v>0</v>
      </c>
      <c r="W453" s="16">
        <v>0</v>
      </c>
      <c r="X453" s="16">
        <v>0</v>
      </c>
      <c r="Y453" s="16">
        <v>80</v>
      </c>
      <c r="Z453" s="16">
        <v>20</v>
      </c>
      <c r="AA453" s="16">
        <v>0</v>
      </c>
      <c r="AB453" s="16">
        <v>0</v>
      </c>
      <c r="AC453" s="16" t="s">
        <v>1213</v>
      </c>
      <c r="AD453" s="31" t="s">
        <v>1214</v>
      </c>
      <c r="AE453" s="23"/>
    </row>
    <row r="454" spans="1:84" x14ac:dyDescent="0.2">
      <c r="A454" s="17" t="s">
        <v>3921</v>
      </c>
      <c r="B454" s="17" t="s">
        <v>45</v>
      </c>
      <c r="C454" s="17">
        <v>2025</v>
      </c>
      <c r="D454" s="17" t="str">
        <f t="array" ref="D454">_xlfn.SWITCH(E454,"Jatikalen","35.18.20","Kertosono", "35.18.08","Lengkong","35.18.19","Loceret","35.18.04","Tanjunganom","35.18.11","Wilangan","35.18.15")</f>
        <v>35.18.04</v>
      </c>
      <c r="E454" s="16" t="s">
        <v>41</v>
      </c>
      <c r="F454" s="33" t="s">
        <v>1215</v>
      </c>
      <c r="G454" s="33" t="s">
        <v>1216</v>
      </c>
      <c r="H454" s="16" t="s">
        <v>81</v>
      </c>
      <c r="I454" s="16">
        <v>10</v>
      </c>
      <c r="J454" s="16">
        <v>1</v>
      </c>
      <c r="K454" s="16">
        <f t="shared" si="8"/>
        <v>11</v>
      </c>
      <c r="L454" s="18">
        <v>200000000</v>
      </c>
      <c r="M454" s="17" t="s">
        <v>1147</v>
      </c>
      <c r="N454" s="18">
        <v>3000</v>
      </c>
      <c r="O454" s="16" t="s">
        <v>83</v>
      </c>
      <c r="P454" s="30">
        <f>925500*N454</f>
        <v>2776500000</v>
      </c>
      <c r="Q454" s="17" t="s">
        <v>84</v>
      </c>
      <c r="R454" s="18">
        <v>3800</v>
      </c>
      <c r="S454" s="16" t="s">
        <v>83</v>
      </c>
      <c r="T454" s="30">
        <f>400000*R454</f>
        <v>1520000000</v>
      </c>
      <c r="U454" s="16" t="s">
        <v>22</v>
      </c>
      <c r="V454" s="16">
        <v>0</v>
      </c>
      <c r="W454" s="16">
        <v>0</v>
      </c>
      <c r="X454" s="16">
        <v>0</v>
      </c>
      <c r="Y454" s="16">
        <v>75</v>
      </c>
      <c r="Z454" s="16">
        <v>25</v>
      </c>
      <c r="AA454" s="16">
        <v>0</v>
      </c>
      <c r="AB454" s="16">
        <v>0</v>
      </c>
      <c r="AC454" s="16" t="s">
        <v>1217</v>
      </c>
      <c r="AD454" s="31" t="s">
        <v>1218</v>
      </c>
      <c r="AE454" s="23"/>
    </row>
    <row r="455" spans="1:84" ht="20" x14ac:dyDescent="0.2">
      <c r="A455" s="17" t="s">
        <v>3921</v>
      </c>
      <c r="B455" s="17" t="s">
        <v>45</v>
      </c>
      <c r="C455" s="17">
        <v>2025</v>
      </c>
      <c r="D455" s="17" t="str">
        <f t="array" ref="D455">_xlfn.SWITCH(E455,"Bagor","35.18.14","Sukomoro",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55" s="16" t="s">
        <v>45</v>
      </c>
      <c r="F455" s="33" t="s">
        <v>1219</v>
      </c>
      <c r="G455" s="33" t="s">
        <v>1220</v>
      </c>
      <c r="H455" s="16" t="s">
        <v>31</v>
      </c>
      <c r="I455" s="16">
        <v>3</v>
      </c>
      <c r="J455" s="16">
        <v>0</v>
      </c>
      <c r="K455" s="16">
        <f t="shared" si="8"/>
        <v>3</v>
      </c>
      <c r="L455" s="18">
        <v>30000000</v>
      </c>
      <c r="M455" s="17" t="s">
        <v>1221</v>
      </c>
      <c r="N455" s="18">
        <v>3</v>
      </c>
      <c r="O455" s="16" t="s">
        <v>83</v>
      </c>
      <c r="P455" s="30">
        <f>13000*3000</f>
        <v>39000000</v>
      </c>
      <c r="Q455" s="17" t="s">
        <v>1222</v>
      </c>
      <c r="R455" s="18">
        <v>2</v>
      </c>
      <c r="S455" s="16" t="s">
        <v>83</v>
      </c>
      <c r="T455" s="30">
        <f>2000*10000</f>
        <v>20000000</v>
      </c>
      <c r="U455" s="16" t="s">
        <v>22</v>
      </c>
      <c r="V455" s="16">
        <v>0</v>
      </c>
      <c r="W455" s="16">
        <v>0</v>
      </c>
      <c r="X455" s="16">
        <v>0</v>
      </c>
      <c r="Y455" s="16">
        <v>80</v>
      </c>
      <c r="Z455" s="16">
        <v>20</v>
      </c>
      <c r="AA455" s="16">
        <v>0</v>
      </c>
      <c r="AB455" s="16">
        <v>0</v>
      </c>
      <c r="AC455" s="16" t="s">
        <v>1223</v>
      </c>
      <c r="AD455" s="31" t="s">
        <v>1224</v>
      </c>
      <c r="AE455" s="23"/>
    </row>
    <row r="456" spans="1:84" x14ac:dyDescent="0.2">
      <c r="A456" s="17" t="s">
        <v>3921</v>
      </c>
      <c r="B456" s="17" t="s">
        <v>45</v>
      </c>
      <c r="C456" s="17">
        <v>2025</v>
      </c>
      <c r="D456" s="17" t="str">
        <f t="array" ref="D456">_xlfn.SWITCH(E456,"Bagor","35.18.14","Sukomoro",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56" s="16" t="s">
        <v>103</v>
      </c>
      <c r="F456" s="33" t="s">
        <v>1225</v>
      </c>
      <c r="G456" s="33" t="s">
        <v>1226</v>
      </c>
      <c r="H456" s="16" t="s">
        <v>47</v>
      </c>
      <c r="I456" s="16">
        <v>2</v>
      </c>
      <c r="J456" s="16">
        <v>0</v>
      </c>
      <c r="K456" s="16">
        <f t="shared" si="8"/>
        <v>2</v>
      </c>
      <c r="L456" s="18">
        <v>15000000</v>
      </c>
      <c r="M456" s="17" t="s">
        <v>1073</v>
      </c>
      <c r="N456" s="18">
        <v>500</v>
      </c>
      <c r="O456" s="16" t="s">
        <v>211</v>
      </c>
      <c r="P456" s="30">
        <f>N456*75000</f>
        <v>37500000</v>
      </c>
      <c r="Q456" s="17" t="s">
        <v>1227</v>
      </c>
      <c r="R456" s="18">
        <v>1100</v>
      </c>
      <c r="S456" s="16" t="s">
        <v>97</v>
      </c>
      <c r="T456" s="45">
        <f>R456*20000</f>
        <v>22000000</v>
      </c>
      <c r="U456" s="16" t="s">
        <v>22</v>
      </c>
      <c r="V456" s="16">
        <v>0</v>
      </c>
      <c r="W456" s="16">
        <v>0</v>
      </c>
      <c r="X456" s="16">
        <v>0</v>
      </c>
      <c r="Y456" s="16">
        <v>90</v>
      </c>
      <c r="Z456" s="16">
        <v>10</v>
      </c>
      <c r="AA456" s="16">
        <v>0</v>
      </c>
      <c r="AB456" s="16">
        <v>0</v>
      </c>
      <c r="AC456" s="16" t="s">
        <v>1228</v>
      </c>
      <c r="AD456" s="31" t="s">
        <v>1229</v>
      </c>
      <c r="AE456" s="23"/>
    </row>
    <row r="457" spans="1:84" x14ac:dyDescent="0.2">
      <c r="A457" s="17" t="s">
        <v>3921</v>
      </c>
      <c r="B457" s="17" t="s">
        <v>45</v>
      </c>
      <c r="C457" s="17">
        <v>2025</v>
      </c>
      <c r="D457" s="17" t="str">
        <f t="array" ref="D457">_xlfn.SWITCH(E457,"Jatikalen","35.18.20","Kertosono", "35.18.08","Lengkong","35.18.19","Loceret","35.18.04","Tanjunganom","35.18.11","Wilangan","35.18.15")</f>
        <v>35.18.11</v>
      </c>
      <c r="E457" s="16" t="s">
        <v>60</v>
      </c>
      <c r="F457" s="33" t="s">
        <v>1230</v>
      </c>
      <c r="G457" s="33" t="s">
        <v>1231</v>
      </c>
      <c r="H457" s="16" t="s">
        <v>31</v>
      </c>
      <c r="I457" s="16">
        <v>5</v>
      </c>
      <c r="J457" s="16">
        <v>2</v>
      </c>
      <c r="K457" s="16">
        <f t="shared" si="8"/>
        <v>7</v>
      </c>
      <c r="L457" s="18">
        <v>25000000</v>
      </c>
      <c r="M457" s="17" t="s">
        <v>1232</v>
      </c>
      <c r="N457" s="18">
        <v>700</v>
      </c>
      <c r="O457" s="16" t="s">
        <v>49</v>
      </c>
      <c r="P457" s="30">
        <f>500000*N457</f>
        <v>350000000</v>
      </c>
      <c r="Q457" s="17" t="s">
        <v>57</v>
      </c>
      <c r="R457" s="18">
        <v>140</v>
      </c>
      <c r="S457" s="16" t="s">
        <v>51</v>
      </c>
      <c r="T457" s="30">
        <f>1200000*R457</f>
        <v>168000000</v>
      </c>
      <c r="U457" s="16" t="s">
        <v>22</v>
      </c>
      <c r="V457" s="16">
        <v>0</v>
      </c>
      <c r="W457" s="16">
        <v>0</v>
      </c>
      <c r="X457" s="16">
        <v>0</v>
      </c>
      <c r="Y457" s="16">
        <v>90</v>
      </c>
      <c r="Z457" s="16">
        <v>10</v>
      </c>
      <c r="AA457" s="16">
        <v>0</v>
      </c>
      <c r="AB457" s="16">
        <v>0</v>
      </c>
      <c r="AC457" s="16" t="s">
        <v>1233</v>
      </c>
      <c r="AD457" s="31" t="s">
        <v>1234</v>
      </c>
      <c r="AE457" s="23"/>
    </row>
    <row r="458" spans="1:84" ht="20" x14ac:dyDescent="0.2">
      <c r="A458" s="17" t="s">
        <v>3921</v>
      </c>
      <c r="B458" s="17" t="s">
        <v>45</v>
      </c>
      <c r="C458" s="17">
        <v>2025</v>
      </c>
      <c r="D458" s="17" t="str">
        <f t="array" ref="D458">_xlfn.SWITCH(E458,"Bagor","35.18.14","Sukomoro",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58" s="16" t="s">
        <v>45</v>
      </c>
      <c r="F458" s="33" t="s">
        <v>1235</v>
      </c>
      <c r="G458" s="33" t="s">
        <v>1236</v>
      </c>
      <c r="H458" s="16" t="s">
        <v>47</v>
      </c>
      <c r="I458" s="16">
        <v>3</v>
      </c>
      <c r="J458" s="16">
        <v>0</v>
      </c>
      <c r="K458" s="16">
        <f t="shared" si="8"/>
        <v>3</v>
      </c>
      <c r="L458" s="18">
        <v>120000000</v>
      </c>
      <c r="M458" s="17" t="s">
        <v>1237</v>
      </c>
      <c r="N458" s="18">
        <v>80</v>
      </c>
      <c r="O458" s="16" t="s">
        <v>1238</v>
      </c>
      <c r="P458" s="30">
        <f>5000000*N458</f>
        <v>400000000</v>
      </c>
      <c r="Q458" s="17" t="s">
        <v>1239</v>
      </c>
      <c r="R458" s="18">
        <v>85</v>
      </c>
      <c r="S458" s="16" t="s">
        <v>1238</v>
      </c>
      <c r="T458" s="30">
        <f>R458*2500000</f>
        <v>212500000</v>
      </c>
      <c r="U458" s="16" t="s">
        <v>22</v>
      </c>
      <c r="V458" s="16">
        <v>0</v>
      </c>
      <c r="W458" s="16">
        <v>0</v>
      </c>
      <c r="X458" s="16">
        <v>0</v>
      </c>
      <c r="Y458" s="16">
        <v>80</v>
      </c>
      <c r="Z458" s="16">
        <v>20</v>
      </c>
      <c r="AA458" s="16">
        <v>0</v>
      </c>
      <c r="AB458" s="16">
        <v>0</v>
      </c>
      <c r="AC458" s="16" t="s">
        <v>1240</v>
      </c>
      <c r="AD458" s="31" t="s">
        <v>1241</v>
      </c>
      <c r="AE458" s="23"/>
    </row>
    <row r="459" spans="1:84" x14ac:dyDescent="0.2">
      <c r="A459" s="17" t="s">
        <v>3921</v>
      </c>
      <c r="B459" s="17" t="s">
        <v>45</v>
      </c>
      <c r="C459" s="17">
        <v>2025</v>
      </c>
      <c r="D459" s="17" t="str">
        <f t="array" ref="D459">_xlfn.SWITCH(E459,"Bagor","35.18.14","Sukomoro",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59" s="16" t="s">
        <v>149</v>
      </c>
      <c r="F459" s="33" t="s">
        <v>1242</v>
      </c>
      <c r="G459" s="33" t="s">
        <v>1243</v>
      </c>
      <c r="H459" s="16" t="s">
        <v>31</v>
      </c>
      <c r="I459" s="16">
        <v>1</v>
      </c>
      <c r="J459" s="16">
        <v>2</v>
      </c>
      <c r="K459" s="16">
        <f t="shared" si="8"/>
        <v>3</v>
      </c>
      <c r="L459" s="18">
        <v>5000000</v>
      </c>
      <c r="M459" s="17" t="s">
        <v>190</v>
      </c>
      <c r="N459" s="18">
        <v>50</v>
      </c>
      <c r="O459" s="16" t="s">
        <v>422</v>
      </c>
      <c r="P459" s="30">
        <f>25000*N459</f>
        <v>1250000</v>
      </c>
      <c r="Q459" s="17" t="s">
        <v>159</v>
      </c>
      <c r="R459" s="18">
        <v>75</v>
      </c>
      <c r="S459" s="16" t="s">
        <v>422</v>
      </c>
      <c r="T459" s="30">
        <f>7785*R459</f>
        <v>583875</v>
      </c>
      <c r="U459" s="16" t="s">
        <v>22</v>
      </c>
      <c r="V459" s="16">
        <v>0</v>
      </c>
      <c r="W459" s="16">
        <v>0</v>
      </c>
      <c r="X459" s="16">
        <v>0</v>
      </c>
      <c r="Y459" s="16">
        <v>90</v>
      </c>
      <c r="Z459" s="16">
        <v>10</v>
      </c>
      <c r="AA459" s="16">
        <v>0</v>
      </c>
      <c r="AB459" s="16">
        <v>0</v>
      </c>
      <c r="AC459" s="16" t="s">
        <v>1244</v>
      </c>
      <c r="AD459" s="31" t="s">
        <v>1245</v>
      </c>
      <c r="AE459" s="23"/>
    </row>
    <row r="460" spans="1:84" x14ac:dyDescent="0.2">
      <c r="A460" s="17" t="s">
        <v>3921</v>
      </c>
      <c r="B460" s="17" t="s">
        <v>45</v>
      </c>
      <c r="C460" s="17">
        <v>2025</v>
      </c>
      <c r="D460" s="17" t="str">
        <f t="array" ref="D460">_xlfn.SWITCH(E460,"Bagor","35.18.14","Sukomoro",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60" s="16" t="s">
        <v>103</v>
      </c>
      <c r="F460" s="33" t="s">
        <v>1246</v>
      </c>
      <c r="G460" s="33" t="s">
        <v>1247</v>
      </c>
      <c r="H460" s="16" t="s">
        <v>81</v>
      </c>
      <c r="I460" s="16">
        <v>4</v>
      </c>
      <c r="J460" s="16">
        <v>0</v>
      </c>
      <c r="K460" s="16">
        <f t="shared" si="8"/>
        <v>4</v>
      </c>
      <c r="L460" s="18">
        <v>100000000</v>
      </c>
      <c r="M460" s="17" t="s">
        <v>971</v>
      </c>
      <c r="N460" s="18">
        <v>75000</v>
      </c>
      <c r="O460" s="16" t="s">
        <v>972</v>
      </c>
      <c r="P460" s="30">
        <f>9000*N460</f>
        <v>675000000</v>
      </c>
      <c r="Q460" s="17" t="s">
        <v>481</v>
      </c>
      <c r="R460" s="18">
        <v>50000</v>
      </c>
      <c r="S460" s="16" t="s">
        <v>972</v>
      </c>
      <c r="T460" s="30">
        <f>R460*2000</f>
        <v>100000000</v>
      </c>
      <c r="U460" s="16" t="s">
        <v>22</v>
      </c>
      <c r="V460" s="16" t="s">
        <v>52</v>
      </c>
      <c r="W460" s="53">
        <v>5000</v>
      </c>
      <c r="X460" s="16" t="s">
        <v>143</v>
      </c>
      <c r="Y460" s="16">
        <v>80</v>
      </c>
      <c r="Z460" s="16">
        <v>20</v>
      </c>
      <c r="AA460" s="16">
        <v>0</v>
      </c>
      <c r="AB460" s="16">
        <v>0</v>
      </c>
      <c r="AC460" s="16" t="s">
        <v>1248</v>
      </c>
      <c r="AD460" s="31" t="s">
        <v>1245</v>
      </c>
      <c r="AE460" s="23"/>
    </row>
    <row r="461" spans="1:84" x14ac:dyDescent="0.2">
      <c r="A461" s="17" t="s">
        <v>3921</v>
      </c>
      <c r="B461" s="17" t="s">
        <v>45</v>
      </c>
      <c r="C461" s="17">
        <v>2025</v>
      </c>
      <c r="D461" s="17" t="str">
        <f t="array" ref="D461">_xlfn.SWITCH(E461,"Bagor","35.18.14","Sukomoro",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461" s="16" t="s">
        <v>124</v>
      </c>
      <c r="F461" s="33" t="s">
        <v>1249</v>
      </c>
      <c r="G461" s="33" t="s">
        <v>1250</v>
      </c>
      <c r="H461" s="16" t="s">
        <v>81</v>
      </c>
      <c r="I461" s="16">
        <v>25</v>
      </c>
      <c r="J461" s="16">
        <v>1</v>
      </c>
      <c r="K461" s="16">
        <f t="shared" si="8"/>
        <v>26</v>
      </c>
      <c r="L461" s="18">
        <v>300000000</v>
      </c>
      <c r="M461" s="17" t="s">
        <v>1147</v>
      </c>
      <c r="N461" s="18">
        <v>3000</v>
      </c>
      <c r="O461" s="16" t="s">
        <v>83</v>
      </c>
      <c r="P461" s="30">
        <f>975325*N461</f>
        <v>2925975000</v>
      </c>
      <c r="Q461" s="17" t="s">
        <v>84</v>
      </c>
      <c r="R461" s="18">
        <v>3700</v>
      </c>
      <c r="S461" s="16" t="s">
        <v>83</v>
      </c>
      <c r="T461" s="30">
        <f>425000*R461</f>
        <v>1572500000</v>
      </c>
      <c r="U461" s="16" t="s">
        <v>22</v>
      </c>
      <c r="V461" s="16">
        <v>0</v>
      </c>
      <c r="W461" s="16">
        <v>0</v>
      </c>
      <c r="X461" s="16">
        <v>0</v>
      </c>
      <c r="Y461" s="16">
        <v>80</v>
      </c>
      <c r="Z461" s="16">
        <v>20</v>
      </c>
      <c r="AA461" s="16">
        <v>0</v>
      </c>
      <c r="AB461" s="16">
        <v>0</v>
      </c>
      <c r="AC461" s="16" t="s">
        <v>1251</v>
      </c>
      <c r="AD461" s="57" t="s">
        <v>1252</v>
      </c>
      <c r="AE461" s="23"/>
    </row>
    <row r="462" spans="1:84" ht="20" x14ac:dyDescent="0.2">
      <c r="A462" s="17" t="s">
        <v>3921</v>
      </c>
      <c r="B462" s="17" t="s">
        <v>45</v>
      </c>
      <c r="C462" s="17">
        <v>2025</v>
      </c>
      <c r="D462" s="17" t="str">
        <f t="array" ref="D462">_xlfn.SWITCH(E462,"Bagor","35.18.14","Sukomoro",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62" s="16" t="s">
        <v>45</v>
      </c>
      <c r="F462" s="33" t="s">
        <v>1253</v>
      </c>
      <c r="G462" s="33" t="s">
        <v>1254</v>
      </c>
      <c r="H462" s="16" t="s">
        <v>81</v>
      </c>
      <c r="I462" s="16">
        <v>25</v>
      </c>
      <c r="J462" s="16">
        <v>0</v>
      </c>
      <c r="K462" s="16">
        <f t="shared" si="8"/>
        <v>25</v>
      </c>
      <c r="L462" s="18">
        <v>1000000000</v>
      </c>
      <c r="M462" s="17" t="s">
        <v>1147</v>
      </c>
      <c r="N462" s="18">
        <v>900</v>
      </c>
      <c r="O462" s="16" t="s">
        <v>83</v>
      </c>
      <c r="P462" s="30">
        <f>890875*N462</f>
        <v>801787500</v>
      </c>
      <c r="Q462" s="17" t="s">
        <v>84</v>
      </c>
      <c r="R462" s="18">
        <v>1000</v>
      </c>
      <c r="S462" s="16" t="s">
        <v>83</v>
      </c>
      <c r="T462" s="30">
        <f>415000*R462</f>
        <v>415000000</v>
      </c>
      <c r="U462" s="16" t="s">
        <v>22</v>
      </c>
      <c r="V462" s="16">
        <v>0</v>
      </c>
      <c r="W462" s="16">
        <v>0</v>
      </c>
      <c r="X462" s="16">
        <v>0</v>
      </c>
      <c r="Y462" s="16">
        <v>80</v>
      </c>
      <c r="Z462" s="16">
        <v>20</v>
      </c>
      <c r="AA462" s="16">
        <v>0</v>
      </c>
      <c r="AB462" s="16">
        <v>0</v>
      </c>
      <c r="AC462" s="16" t="s">
        <v>1255</v>
      </c>
      <c r="AD462" s="57" t="s">
        <v>1256</v>
      </c>
      <c r="AE462" s="23"/>
    </row>
    <row r="463" spans="1:84" s="60" customFormat="1" ht="30" x14ac:dyDescent="0.35">
      <c r="A463" s="17" t="s">
        <v>3921</v>
      </c>
      <c r="B463" s="17" t="s">
        <v>45</v>
      </c>
      <c r="C463" s="17">
        <v>2025</v>
      </c>
      <c r="D463" s="17" t="str">
        <f t="array" ref="D463">_xlfn.SWITCH(E463,"Jatikalen","35.18.20","Kertosono", "35.18.08","Lengkong","35.18.19","Loceret","35.18.04","Tanjunganom","35.18.11","Wilangan","35.18.15")</f>
        <v>35.18.15</v>
      </c>
      <c r="E463" s="16" t="s">
        <v>1158</v>
      </c>
      <c r="F463" s="33" t="s">
        <v>1257</v>
      </c>
      <c r="G463" s="33" t="s">
        <v>1258</v>
      </c>
      <c r="H463" s="16" t="s">
        <v>47</v>
      </c>
      <c r="I463" s="16">
        <v>6</v>
      </c>
      <c r="J463" s="16">
        <v>2</v>
      </c>
      <c r="K463" s="16">
        <f t="shared" si="8"/>
        <v>8</v>
      </c>
      <c r="L463" s="18">
        <v>75000000</v>
      </c>
      <c r="M463" s="17" t="s">
        <v>1259</v>
      </c>
      <c r="N463" s="18">
        <v>120</v>
      </c>
      <c r="O463" s="16" t="s">
        <v>95</v>
      </c>
      <c r="P463" s="18" t="s">
        <v>1260</v>
      </c>
      <c r="Q463" s="17" t="s">
        <v>1261</v>
      </c>
      <c r="R463" s="18" t="s">
        <v>1262</v>
      </c>
      <c r="S463" s="16" t="s">
        <v>1263</v>
      </c>
      <c r="T463" s="18" t="s">
        <v>1264</v>
      </c>
      <c r="U463" s="16" t="s">
        <v>22</v>
      </c>
      <c r="V463" s="16">
        <v>0</v>
      </c>
      <c r="W463" s="16">
        <v>0</v>
      </c>
      <c r="X463" s="16">
        <v>0</v>
      </c>
      <c r="Y463" s="16">
        <v>50</v>
      </c>
      <c r="Z463" s="16">
        <v>30</v>
      </c>
      <c r="AA463" s="16">
        <v>20</v>
      </c>
      <c r="AB463" s="16">
        <v>0</v>
      </c>
      <c r="AC463" s="16" t="s">
        <v>1265</v>
      </c>
      <c r="AD463" s="58" t="s">
        <v>1266</v>
      </c>
      <c r="AE463" s="40"/>
      <c r="AF463" s="59"/>
    </row>
    <row r="464" spans="1:84" x14ac:dyDescent="0.2">
      <c r="A464" s="17" t="s">
        <v>3921</v>
      </c>
      <c r="B464" s="17" t="s">
        <v>45</v>
      </c>
      <c r="C464" s="17">
        <v>2025</v>
      </c>
      <c r="D464" s="17" t="str">
        <f t="array" ref="D464">_xlfn.SWITCH(E464,"Bagor","35.18.14","Sukomoro",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64" s="16" t="s">
        <v>45</v>
      </c>
      <c r="F464" s="61" t="s">
        <v>1267</v>
      </c>
      <c r="G464" s="33" t="s">
        <v>1268</v>
      </c>
      <c r="H464" s="16" t="s">
        <v>47</v>
      </c>
      <c r="I464" s="16">
        <v>5</v>
      </c>
      <c r="J464" s="16">
        <v>3</v>
      </c>
      <c r="K464" s="16">
        <f t="shared" si="8"/>
        <v>8</v>
      </c>
      <c r="L464" s="18">
        <v>30000000</v>
      </c>
      <c r="M464" s="17" t="s">
        <v>72</v>
      </c>
      <c r="N464" s="18">
        <v>20</v>
      </c>
      <c r="O464" s="16" t="s">
        <v>51</v>
      </c>
      <c r="P464" s="30">
        <f>8000000*N464</f>
        <v>160000000</v>
      </c>
      <c r="Q464" s="17" t="s">
        <v>295</v>
      </c>
      <c r="R464" s="62">
        <v>25</v>
      </c>
      <c r="S464" s="16" t="s">
        <v>51</v>
      </c>
      <c r="T464" s="30">
        <f>3000000*R464</f>
        <v>75000000</v>
      </c>
      <c r="U464" s="16" t="s">
        <v>22</v>
      </c>
      <c r="V464" s="16">
        <v>0</v>
      </c>
      <c r="W464" s="16">
        <v>0</v>
      </c>
      <c r="X464" s="16">
        <v>0</v>
      </c>
      <c r="Y464" s="16">
        <v>75</v>
      </c>
      <c r="Z464" s="16">
        <v>25</v>
      </c>
      <c r="AA464" s="16">
        <v>0</v>
      </c>
      <c r="AB464" s="16">
        <v>0</v>
      </c>
      <c r="AC464" s="16" t="s">
        <v>1269</v>
      </c>
      <c r="AD464" s="54" t="s">
        <v>1270</v>
      </c>
      <c r="AE464" s="23"/>
    </row>
    <row r="465" spans="1:34" x14ac:dyDescent="0.2">
      <c r="A465" s="17" t="s">
        <v>3921</v>
      </c>
      <c r="B465" s="17" t="s">
        <v>45</v>
      </c>
      <c r="C465" s="17">
        <v>2025</v>
      </c>
      <c r="D465" s="17" t="str">
        <f t="array" ref="D465">_xlfn.SWITCH(E465,"Jatikalen","35.18.20","Kertosono", "35.18.08","Lengkong","35.18.19","Loceret","35.18.04","Tanjunganom","35.18.11","Wilangan","35.18.15")</f>
        <v>35.18.15</v>
      </c>
      <c r="E465" s="16" t="s">
        <v>1158</v>
      </c>
      <c r="F465" s="63" t="s">
        <v>1271</v>
      </c>
      <c r="G465" s="33" t="s">
        <v>1272</v>
      </c>
      <c r="H465" s="16" t="s">
        <v>47</v>
      </c>
      <c r="I465" s="16">
        <v>4</v>
      </c>
      <c r="J465" s="16">
        <v>0</v>
      </c>
      <c r="K465" s="16">
        <f t="shared" si="8"/>
        <v>4</v>
      </c>
      <c r="L465" s="18">
        <v>26000000</v>
      </c>
      <c r="M465" s="17" t="s">
        <v>72</v>
      </c>
      <c r="N465" s="18">
        <v>70</v>
      </c>
      <c r="O465" s="16" t="s">
        <v>51</v>
      </c>
      <c r="P465" s="30">
        <f>18550000*N465</f>
        <v>1298500000</v>
      </c>
      <c r="Q465" s="17" t="s">
        <v>212</v>
      </c>
      <c r="R465" s="18">
        <v>73</v>
      </c>
      <c r="S465" s="16" t="s">
        <v>51</v>
      </c>
      <c r="T465" s="45">
        <f>10000000*R465</f>
        <v>730000000</v>
      </c>
      <c r="U465" s="16" t="s">
        <v>22</v>
      </c>
      <c r="V465" s="16">
        <v>0</v>
      </c>
      <c r="W465" s="16">
        <v>0</v>
      </c>
      <c r="X465" s="16">
        <v>0</v>
      </c>
      <c r="Y465" s="16">
        <v>75</v>
      </c>
      <c r="Z465" s="16">
        <v>25</v>
      </c>
      <c r="AA465" s="16">
        <v>0</v>
      </c>
      <c r="AB465" s="16">
        <v>0</v>
      </c>
      <c r="AC465" s="16" t="s">
        <v>1273</v>
      </c>
      <c r="AD465" s="54" t="s">
        <v>1274</v>
      </c>
      <c r="AE465" s="23"/>
    </row>
    <row r="466" spans="1:34" x14ac:dyDescent="0.2">
      <c r="A466" s="17" t="s">
        <v>3921</v>
      </c>
      <c r="B466" s="17" t="s">
        <v>45</v>
      </c>
      <c r="C466" s="17">
        <v>2025</v>
      </c>
      <c r="D466" s="17" t="str">
        <f t="array" ref="D466">_xlfn.SWITCH(E466,"Jatikalen","35.18.20","Kertosono", "35.18.08","Lengkong","35.18.19","Loceret","35.18.04","Tanjunganom","35.18.11","Wilangan","35.18.15")</f>
        <v>35.18.15</v>
      </c>
      <c r="E466" s="16" t="s">
        <v>1158</v>
      </c>
      <c r="F466" s="33" t="str">
        <f>F606</f>
        <v>Ds. Ngudikan</v>
      </c>
      <c r="G466" s="33" t="s">
        <v>1275</v>
      </c>
      <c r="H466" s="16" t="s">
        <v>47</v>
      </c>
      <c r="I466" s="16">
        <v>4</v>
      </c>
      <c r="J466" s="16">
        <v>0</v>
      </c>
      <c r="K466" s="16">
        <f t="shared" si="8"/>
        <v>4</v>
      </c>
      <c r="L466" s="18">
        <v>35000000</v>
      </c>
      <c r="M466" s="17" t="s">
        <v>72</v>
      </c>
      <c r="N466" s="18">
        <v>20</v>
      </c>
      <c r="O466" s="16" t="s">
        <v>51</v>
      </c>
      <c r="P466" s="30">
        <f>8250000*N466</f>
        <v>165000000</v>
      </c>
      <c r="Q466" s="17" t="s">
        <v>295</v>
      </c>
      <c r="R466" s="18">
        <v>23</v>
      </c>
      <c r="S466" s="16" t="s">
        <v>51</v>
      </c>
      <c r="T466" s="45">
        <f>3000000*R466</f>
        <v>69000000</v>
      </c>
      <c r="U466" s="16" t="s">
        <v>22</v>
      </c>
      <c r="V466" s="16">
        <v>0</v>
      </c>
      <c r="W466" s="16">
        <v>0</v>
      </c>
      <c r="X466" s="16">
        <v>0</v>
      </c>
      <c r="Y466" s="16">
        <v>80</v>
      </c>
      <c r="Z466" s="16">
        <v>20</v>
      </c>
      <c r="AA466" s="16">
        <v>0</v>
      </c>
      <c r="AB466" s="16">
        <v>0</v>
      </c>
      <c r="AC466" s="16" t="s">
        <v>1276</v>
      </c>
      <c r="AD466" s="54" t="s">
        <v>1274</v>
      </c>
      <c r="AE466" s="23"/>
    </row>
    <row r="467" spans="1:34" x14ac:dyDescent="0.2">
      <c r="A467" s="17" t="s">
        <v>3921</v>
      </c>
      <c r="B467" s="17" t="s">
        <v>45</v>
      </c>
      <c r="C467" s="17">
        <v>2025</v>
      </c>
      <c r="D467" s="17" t="str">
        <f t="array" ref="D467">_xlfn.SWITCH(E467,"Jatikalen","35.18.20","Kertosono", "35.18.08","Lengkong","35.18.19","Loceret","35.18.04","Tanjunganom","35.18.11","Wilangan","35.18.15")</f>
        <v>35.18.15</v>
      </c>
      <c r="E467" s="16" t="s">
        <v>1158</v>
      </c>
      <c r="F467" s="33" t="s">
        <v>1277</v>
      </c>
      <c r="G467" s="33" t="s">
        <v>1278</v>
      </c>
      <c r="H467" s="16" t="s">
        <v>47</v>
      </c>
      <c r="I467" s="16">
        <v>6</v>
      </c>
      <c r="J467" s="16">
        <v>1</v>
      </c>
      <c r="K467" s="16">
        <f t="shared" si="8"/>
        <v>7</v>
      </c>
      <c r="L467" s="18">
        <v>70000000</v>
      </c>
      <c r="M467" s="17" t="s">
        <v>72</v>
      </c>
      <c r="N467" s="18">
        <v>45</v>
      </c>
      <c r="O467" s="16" t="s">
        <v>51</v>
      </c>
      <c r="P467" s="30">
        <f>19825000*N467</f>
        <v>892125000</v>
      </c>
      <c r="Q467" s="17" t="s">
        <v>212</v>
      </c>
      <c r="R467" s="18">
        <v>49</v>
      </c>
      <c r="S467" s="16" t="s">
        <v>51</v>
      </c>
      <c r="T467" s="30">
        <f>R467*10500000</f>
        <v>514500000</v>
      </c>
      <c r="U467" s="16" t="s">
        <v>22</v>
      </c>
      <c r="V467" s="16">
        <v>0</v>
      </c>
      <c r="W467" s="16">
        <v>0</v>
      </c>
      <c r="X467" s="16">
        <v>0</v>
      </c>
      <c r="Y467" s="16">
        <v>80</v>
      </c>
      <c r="Z467" s="16">
        <v>20</v>
      </c>
      <c r="AA467" s="16">
        <v>0</v>
      </c>
      <c r="AB467" s="16">
        <v>0</v>
      </c>
      <c r="AC467" s="16" t="s">
        <v>1279</v>
      </c>
      <c r="AD467" s="54" t="s">
        <v>1280</v>
      </c>
      <c r="AE467" s="23"/>
    </row>
    <row r="468" spans="1:34" x14ac:dyDescent="0.2">
      <c r="A468" s="17" t="s">
        <v>3921</v>
      </c>
      <c r="B468" s="17" t="s">
        <v>45</v>
      </c>
      <c r="C468" s="17">
        <v>2025</v>
      </c>
      <c r="D468" s="17" t="str">
        <f t="array" ref="D468">_xlfn.SWITCH(E468,"Jatikalen","35.18.20","Kertosono", "35.18.08","Lengkong","35.18.19","Loceret","35.18.04","Tanjunganom","35.18.11","Wilangan","35.18.15")</f>
        <v>35.18.15</v>
      </c>
      <c r="E468" s="16" t="s">
        <v>1158</v>
      </c>
      <c r="F468" s="33" t="s">
        <v>1281</v>
      </c>
      <c r="G468" s="33" t="s">
        <v>1282</v>
      </c>
      <c r="H468" s="16" t="s">
        <v>47</v>
      </c>
      <c r="I468" s="16">
        <v>4</v>
      </c>
      <c r="J468" s="16">
        <v>0</v>
      </c>
      <c r="K468" s="16">
        <f t="shared" si="8"/>
        <v>4</v>
      </c>
      <c r="L468" s="18">
        <v>15000000</v>
      </c>
      <c r="M468" s="17" t="s">
        <v>108</v>
      </c>
      <c r="N468" s="18">
        <v>10</v>
      </c>
      <c r="O468" s="16" t="s">
        <v>51</v>
      </c>
      <c r="P468" s="30">
        <f>12500000*N468</f>
        <v>125000000</v>
      </c>
      <c r="Q468" s="17" t="s">
        <v>57</v>
      </c>
      <c r="R468" s="18">
        <v>15</v>
      </c>
      <c r="S468" s="16" t="s">
        <v>51</v>
      </c>
      <c r="T468" s="30">
        <f>4500000*R468</f>
        <v>67500000</v>
      </c>
      <c r="U468" s="16" t="s">
        <v>22</v>
      </c>
      <c r="V468" s="16" t="s">
        <v>52</v>
      </c>
      <c r="W468" s="16">
        <v>150</v>
      </c>
      <c r="X468" s="16" t="s">
        <v>53</v>
      </c>
      <c r="Y468" s="16">
        <v>75</v>
      </c>
      <c r="Z468" s="16">
        <v>25</v>
      </c>
      <c r="AA468" s="16">
        <v>0</v>
      </c>
      <c r="AB468" s="16">
        <v>0</v>
      </c>
      <c r="AC468" s="16" t="s">
        <v>1283</v>
      </c>
      <c r="AD468" s="54" t="s">
        <v>1284</v>
      </c>
      <c r="AE468" s="23"/>
    </row>
    <row r="469" spans="1:34" x14ac:dyDescent="0.2">
      <c r="A469" s="17" t="s">
        <v>3921</v>
      </c>
      <c r="B469" s="17" t="s">
        <v>45</v>
      </c>
      <c r="C469" s="17">
        <v>2025</v>
      </c>
      <c r="D469" s="17" t="str">
        <f t="array" ref="D469">_xlfn.SWITCH(E469,"Jatikalen","35.18.20","Kertosono", "35.18.08","Lengkong","35.18.19","Loceret","35.18.04","Tanjunganom","35.18.11","Wilangan","35.18.15")</f>
        <v>35.18.15</v>
      </c>
      <c r="E469" s="16" t="s">
        <v>1158</v>
      </c>
      <c r="F469" s="33" t="s">
        <v>1285</v>
      </c>
      <c r="G469" s="33" t="s">
        <v>1286</v>
      </c>
      <c r="H469" s="16" t="s">
        <v>47</v>
      </c>
      <c r="I469" s="16">
        <v>3</v>
      </c>
      <c r="J469" s="16">
        <v>0</v>
      </c>
      <c r="K469" s="16">
        <f t="shared" si="8"/>
        <v>3</v>
      </c>
      <c r="L469" s="18">
        <v>50000000</v>
      </c>
      <c r="M469" s="17" t="s">
        <v>72</v>
      </c>
      <c r="N469" s="18">
        <v>35</v>
      </c>
      <c r="O469" s="16" t="s">
        <v>51</v>
      </c>
      <c r="P469" s="30">
        <f>12500000*N469</f>
        <v>437500000</v>
      </c>
      <c r="Q469" s="17" t="s">
        <v>57</v>
      </c>
      <c r="R469" s="18">
        <v>40</v>
      </c>
      <c r="S469" s="16" t="s">
        <v>51</v>
      </c>
      <c r="T469" s="30">
        <f>5000000*R469</f>
        <v>200000000</v>
      </c>
      <c r="U469" s="16" t="s">
        <v>22</v>
      </c>
      <c r="V469" s="16">
        <v>0</v>
      </c>
      <c r="W469" s="16">
        <v>0</v>
      </c>
      <c r="X469" s="16">
        <v>0</v>
      </c>
      <c r="Y469" s="16">
        <v>75</v>
      </c>
      <c r="Z469" s="16">
        <v>25</v>
      </c>
      <c r="AA469" s="16">
        <v>0</v>
      </c>
      <c r="AB469" s="16">
        <v>0</v>
      </c>
      <c r="AC469" s="16" t="s">
        <v>1287</v>
      </c>
      <c r="AD469" s="54" t="s">
        <v>1161</v>
      </c>
      <c r="AE469" s="23"/>
    </row>
    <row r="470" spans="1:34" x14ac:dyDescent="0.2">
      <c r="A470" s="17" t="s">
        <v>3921</v>
      </c>
      <c r="B470" s="17" t="s">
        <v>45</v>
      </c>
      <c r="C470" s="17">
        <v>2025</v>
      </c>
      <c r="D470" s="17" t="str">
        <f t="array" ref="D470">_xlfn.SWITCH(E470,"Bagor","35.18.14","Sukomoro",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70" s="16" t="s">
        <v>157</v>
      </c>
      <c r="F470" s="17" t="s">
        <v>165</v>
      </c>
      <c r="G470" s="17" t="s">
        <v>1288</v>
      </c>
      <c r="H470" s="16" t="s">
        <v>31</v>
      </c>
      <c r="I470" s="16">
        <v>1</v>
      </c>
      <c r="J470" s="16">
        <v>7</v>
      </c>
      <c r="K470" s="16">
        <f t="shared" si="8"/>
        <v>8</v>
      </c>
      <c r="L470" s="36">
        <v>170000000</v>
      </c>
      <c r="M470" s="17" t="s">
        <v>32</v>
      </c>
      <c r="N470" s="44">
        <v>8500000</v>
      </c>
      <c r="O470" s="16" t="s">
        <v>33</v>
      </c>
      <c r="P470" s="30">
        <f>400*N470</f>
        <v>3400000000</v>
      </c>
      <c r="Q470" s="17" t="s">
        <v>34</v>
      </c>
      <c r="R470" s="64">
        <v>850</v>
      </c>
      <c r="S470" s="16" t="s">
        <v>35</v>
      </c>
      <c r="T470" s="30">
        <f>1122000*R470</f>
        <v>953700000</v>
      </c>
      <c r="U470" s="20" t="s">
        <v>22</v>
      </c>
      <c r="V470" s="16">
        <v>0</v>
      </c>
      <c r="W470" s="16">
        <v>0</v>
      </c>
      <c r="X470" s="16">
        <v>0</v>
      </c>
      <c r="Y470" s="16">
        <v>60</v>
      </c>
      <c r="Z470" s="16">
        <v>40</v>
      </c>
      <c r="AA470" s="16">
        <v>0</v>
      </c>
      <c r="AB470" s="16">
        <v>0</v>
      </c>
      <c r="AC470" s="16" t="s">
        <v>1289</v>
      </c>
      <c r="AD470" s="54" t="s">
        <v>1290</v>
      </c>
      <c r="AE470" s="23"/>
      <c r="AH470" s="3"/>
    </row>
    <row r="471" spans="1:34" x14ac:dyDescent="0.2">
      <c r="A471" s="17" t="s">
        <v>3921</v>
      </c>
      <c r="B471" s="17" t="s">
        <v>45</v>
      </c>
      <c r="C471" s="17">
        <v>2025</v>
      </c>
      <c r="D471" s="17" t="str">
        <f t="array" ref="D471">_xlfn.SWITCH(E471,"Bagor","35.18.14","Sukomoro",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71" s="16" t="s">
        <v>157</v>
      </c>
      <c r="F471" s="17" t="s">
        <v>1291</v>
      </c>
      <c r="G471" s="17" t="s">
        <v>1292</v>
      </c>
      <c r="H471" s="16" t="s">
        <v>31</v>
      </c>
      <c r="I471" s="16">
        <v>1</v>
      </c>
      <c r="J471" s="16">
        <v>6</v>
      </c>
      <c r="K471" s="16">
        <f t="shared" si="8"/>
        <v>7</v>
      </c>
      <c r="L471" s="36">
        <v>140000000</v>
      </c>
      <c r="M471" s="17" t="s">
        <v>32</v>
      </c>
      <c r="N471" s="44">
        <v>7000000</v>
      </c>
      <c r="O471" s="16" t="s">
        <v>33</v>
      </c>
      <c r="P471" s="30">
        <f>400*N471</f>
        <v>2800000000</v>
      </c>
      <c r="Q471" s="17" t="s">
        <v>34</v>
      </c>
      <c r="R471" s="33">
        <v>700</v>
      </c>
      <c r="S471" s="16" t="s">
        <v>35</v>
      </c>
      <c r="T471" s="30">
        <f>1150200*R471</f>
        <v>805140000</v>
      </c>
      <c r="U471" s="20" t="s">
        <v>22</v>
      </c>
      <c r="V471" s="16">
        <v>0</v>
      </c>
      <c r="W471" s="16">
        <v>0</v>
      </c>
      <c r="X471" s="16">
        <v>0</v>
      </c>
      <c r="Y471" s="16">
        <v>75</v>
      </c>
      <c r="Z471" s="16">
        <v>25</v>
      </c>
      <c r="AA471" s="16">
        <v>0</v>
      </c>
      <c r="AB471" s="16">
        <v>0</v>
      </c>
      <c r="AC471" s="16" t="s">
        <v>1293</v>
      </c>
      <c r="AD471" s="54" t="s">
        <v>1290</v>
      </c>
      <c r="AE471" s="23"/>
      <c r="AH471" s="3"/>
    </row>
    <row r="472" spans="1:34" x14ac:dyDescent="0.2">
      <c r="A472" s="17" t="s">
        <v>3921</v>
      </c>
      <c r="B472" s="17" t="s">
        <v>45</v>
      </c>
      <c r="C472" s="17">
        <v>2025</v>
      </c>
      <c r="D472" s="17" t="str">
        <f t="array" ref="D472">_xlfn.SWITCH(E472,"Jatikalen","35.18.20","Kertosono", "35.18.08","Lengkong","35.18.19","Loceret","35.18.04","Tanjunganom","35.18.11","Wilangan","35.18.15")</f>
        <v>35.18.04</v>
      </c>
      <c r="E472" s="16" t="s">
        <v>41</v>
      </c>
      <c r="F472" s="33" t="s">
        <v>1294</v>
      </c>
      <c r="G472" s="33" t="s">
        <v>1295</v>
      </c>
      <c r="H472" s="16" t="s">
        <v>47</v>
      </c>
      <c r="I472" s="16">
        <v>10</v>
      </c>
      <c r="J472" s="16">
        <v>40</v>
      </c>
      <c r="K472" s="16">
        <f t="shared" si="8"/>
        <v>50</v>
      </c>
      <c r="L472" s="18">
        <v>180306000</v>
      </c>
      <c r="M472" s="17" t="s">
        <v>258</v>
      </c>
      <c r="N472" s="18">
        <v>48000</v>
      </c>
      <c r="O472" s="16" t="s">
        <v>835</v>
      </c>
      <c r="P472" s="30">
        <f>36000*N472</f>
        <v>1728000000</v>
      </c>
      <c r="Q472" s="17" t="s">
        <v>260</v>
      </c>
      <c r="R472" s="51">
        <v>7.5</v>
      </c>
      <c r="S472" s="16" t="s">
        <v>1130</v>
      </c>
      <c r="T472" s="30">
        <f>7500000*80</f>
        <v>600000000</v>
      </c>
      <c r="U472" s="16" t="s">
        <v>262</v>
      </c>
      <c r="V472" s="16">
        <v>0</v>
      </c>
      <c r="W472" s="16">
        <v>0</v>
      </c>
      <c r="X472" s="16">
        <v>0</v>
      </c>
      <c r="Y472" s="16">
        <v>45</v>
      </c>
      <c r="Z472" s="16">
        <v>30</v>
      </c>
      <c r="AA472" s="16">
        <v>25</v>
      </c>
      <c r="AB472" s="16">
        <v>0</v>
      </c>
      <c r="AC472" s="16" t="s">
        <v>1296</v>
      </c>
      <c r="AD472" s="54" t="s">
        <v>1297</v>
      </c>
      <c r="AE472" s="23"/>
    </row>
    <row r="473" spans="1:34" x14ac:dyDescent="0.2">
      <c r="A473" s="17" t="s">
        <v>3921</v>
      </c>
      <c r="B473" s="17" t="s">
        <v>45</v>
      </c>
      <c r="C473" s="17">
        <v>2025</v>
      </c>
      <c r="D473" s="17" t="str">
        <f t="array" ref="D473">_xlfn.SWITCH(E473,"Jatikalen","35.18.20","Kertosono", "35.18.08","Lengkong","35.18.19","Loceret","35.18.04","Tanjunganom","35.18.11","Wilangan","35.18.15")</f>
        <v>35.18.08</v>
      </c>
      <c r="E473" s="16" t="s">
        <v>128</v>
      </c>
      <c r="F473" s="33" t="s">
        <v>1298</v>
      </c>
      <c r="G473" s="33" t="s">
        <v>1299</v>
      </c>
      <c r="H473" s="16" t="s">
        <v>31</v>
      </c>
      <c r="I473" s="16">
        <v>2</v>
      </c>
      <c r="J473" s="16">
        <v>0</v>
      </c>
      <c r="K473" s="16">
        <f t="shared" si="8"/>
        <v>2</v>
      </c>
      <c r="L473" s="18">
        <v>25000000</v>
      </c>
      <c r="M473" s="17" t="s">
        <v>1300</v>
      </c>
      <c r="N473" s="18">
        <v>1500</v>
      </c>
      <c r="O473" s="16" t="s">
        <v>1042</v>
      </c>
      <c r="P473" s="30">
        <f>N473*10500000</f>
        <v>15750000000</v>
      </c>
      <c r="Q473" s="17" t="s">
        <v>57</v>
      </c>
      <c r="R473" s="18">
        <v>2000</v>
      </c>
      <c r="S473" s="16" t="s">
        <v>1301</v>
      </c>
      <c r="T473" s="30">
        <f>4500000*R473</f>
        <v>9000000000</v>
      </c>
      <c r="U473" s="16" t="s">
        <v>22</v>
      </c>
      <c r="V473" s="16" t="s">
        <v>52</v>
      </c>
      <c r="W473" s="16">
        <v>700</v>
      </c>
      <c r="X473" s="16" t="s">
        <v>53</v>
      </c>
      <c r="Y473" s="16">
        <v>80</v>
      </c>
      <c r="Z473" s="16">
        <v>20</v>
      </c>
      <c r="AA473" s="16">
        <v>0</v>
      </c>
      <c r="AB473" s="16">
        <v>0</v>
      </c>
      <c r="AC473" s="16" t="s">
        <v>1302</v>
      </c>
      <c r="AD473" s="25" t="s">
        <v>1303</v>
      </c>
      <c r="AE473" s="23"/>
    </row>
    <row r="474" spans="1:34" ht="20" x14ac:dyDescent="0.2">
      <c r="A474" s="17" t="s">
        <v>3921</v>
      </c>
      <c r="B474" s="17" t="s">
        <v>45</v>
      </c>
      <c r="C474" s="17">
        <v>2025</v>
      </c>
      <c r="D474" s="17" t="str">
        <f t="array" ref="D474">_xlfn.SWITCH(E474,"Bagor","35.18.14","Sukomoro",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74" s="16" t="s">
        <v>103</v>
      </c>
      <c r="F474" s="33" t="s">
        <v>636</v>
      </c>
      <c r="G474" s="33" t="s">
        <v>1304</v>
      </c>
      <c r="H474" s="16" t="s">
        <v>47</v>
      </c>
      <c r="I474" s="16">
        <v>20</v>
      </c>
      <c r="J474" s="16">
        <v>0</v>
      </c>
      <c r="K474" s="16">
        <f t="shared" si="8"/>
        <v>20</v>
      </c>
      <c r="L474" s="18">
        <v>300000000</v>
      </c>
      <c r="M474" s="17" t="s">
        <v>668</v>
      </c>
      <c r="N474" s="18">
        <v>30</v>
      </c>
      <c r="O474" s="16" t="s">
        <v>83</v>
      </c>
      <c r="P474" s="30">
        <f>30000*25000</f>
        <v>750000000</v>
      </c>
      <c r="Q474" s="17" t="s">
        <v>1239</v>
      </c>
      <c r="R474" s="18">
        <v>20</v>
      </c>
      <c r="S474" s="16" t="s">
        <v>962</v>
      </c>
      <c r="T474" s="30">
        <v>250000000</v>
      </c>
      <c r="U474" s="16" t="s">
        <v>22</v>
      </c>
      <c r="V474" s="16">
        <v>0</v>
      </c>
      <c r="W474" s="16">
        <v>0</v>
      </c>
      <c r="X474" s="16">
        <v>0</v>
      </c>
      <c r="Y474" s="16">
        <v>80</v>
      </c>
      <c r="Z474" s="16">
        <v>20</v>
      </c>
      <c r="AA474" s="16">
        <v>0</v>
      </c>
      <c r="AB474" s="16">
        <v>0</v>
      </c>
      <c r="AC474" s="16" t="s">
        <v>1305</v>
      </c>
      <c r="AD474" s="25" t="s">
        <v>1306</v>
      </c>
      <c r="AE474" s="23"/>
    </row>
    <row r="475" spans="1:34" ht="20" x14ac:dyDescent="0.2">
      <c r="A475" s="17" t="s">
        <v>3921</v>
      </c>
      <c r="B475" s="17" t="s">
        <v>45</v>
      </c>
      <c r="C475" s="17">
        <v>2025</v>
      </c>
      <c r="D475" s="17" t="str">
        <f t="array" ref="D475">_xlfn.SWITCH(E475,"Bagor","35.18.14","Sukomoro",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75" s="16" t="s">
        <v>71</v>
      </c>
      <c r="F475" s="33" t="s">
        <v>1307</v>
      </c>
      <c r="G475" s="33" t="s">
        <v>1308</v>
      </c>
      <c r="H475" s="16" t="s">
        <v>47</v>
      </c>
      <c r="I475" s="16">
        <v>7</v>
      </c>
      <c r="J475" s="16">
        <v>1</v>
      </c>
      <c r="K475" s="16">
        <f t="shared" si="8"/>
        <v>8</v>
      </c>
      <c r="L475" s="18">
        <v>150000000</v>
      </c>
      <c r="M475" s="17" t="s">
        <v>48</v>
      </c>
      <c r="N475" s="18">
        <v>40</v>
      </c>
      <c r="O475" s="16" t="s">
        <v>51</v>
      </c>
      <c r="P475" s="30">
        <f>N475*10500000</f>
        <v>420000000</v>
      </c>
      <c r="Q475" s="17" t="s">
        <v>57</v>
      </c>
      <c r="R475" s="18">
        <v>45</v>
      </c>
      <c r="S475" s="16" t="s">
        <v>51</v>
      </c>
      <c r="T475" s="30">
        <f>R475*4500000</f>
        <v>202500000</v>
      </c>
      <c r="U475" s="16" t="s">
        <v>22</v>
      </c>
      <c r="V475" s="16" t="s">
        <v>52</v>
      </c>
      <c r="W475" s="16">
        <v>500</v>
      </c>
      <c r="X475" s="16" t="s">
        <v>53</v>
      </c>
      <c r="Y475" s="16">
        <v>90</v>
      </c>
      <c r="Z475" s="16">
        <v>10</v>
      </c>
      <c r="AA475" s="16">
        <v>0</v>
      </c>
      <c r="AB475" s="16">
        <v>0</v>
      </c>
      <c r="AC475" s="16" t="s">
        <v>1309</v>
      </c>
      <c r="AD475" s="25" t="s">
        <v>373</v>
      </c>
      <c r="AE475" s="23"/>
    </row>
    <row r="476" spans="1:34" x14ac:dyDescent="0.2">
      <c r="A476" s="17" t="s">
        <v>3921</v>
      </c>
      <c r="B476" s="17" t="s">
        <v>45</v>
      </c>
      <c r="C476" s="17">
        <v>2025</v>
      </c>
      <c r="D476" s="17" t="str">
        <f t="array" ref="D476">_xlfn.SWITCH(E476,"Jatikalen","35.18.20","Kertosono", "35.18.08","Lengkong","35.18.19","Loceret","35.18.04","Tanjunganom","35.18.11","Wilangan","35.18.15")</f>
        <v>35.18.04</v>
      </c>
      <c r="E476" s="16" t="s">
        <v>41</v>
      </c>
      <c r="F476" s="33" t="s">
        <v>1310</v>
      </c>
      <c r="G476" s="33" t="s">
        <v>1311</v>
      </c>
      <c r="H476" s="16" t="s">
        <v>47</v>
      </c>
      <c r="I476" s="16">
        <v>9</v>
      </c>
      <c r="J476" s="16">
        <v>6</v>
      </c>
      <c r="K476" s="16">
        <f t="shared" si="8"/>
        <v>15</v>
      </c>
      <c r="L476" s="18">
        <v>50000000</v>
      </c>
      <c r="M476" s="17" t="s">
        <v>1312</v>
      </c>
      <c r="N476" s="18">
        <v>750000</v>
      </c>
      <c r="O476" s="16" t="s">
        <v>1130</v>
      </c>
      <c r="P476" s="30">
        <f>N476*10000</f>
        <v>7500000000</v>
      </c>
      <c r="Q476" s="17" t="s">
        <v>1313</v>
      </c>
      <c r="R476" s="18">
        <v>760000</v>
      </c>
      <c r="S476" s="16" t="s">
        <v>1130</v>
      </c>
      <c r="T476" s="30">
        <f>R476*5000</f>
        <v>3800000000</v>
      </c>
      <c r="U476" s="16" t="s">
        <v>22</v>
      </c>
      <c r="V476" s="16">
        <v>0</v>
      </c>
      <c r="W476" s="16">
        <v>0</v>
      </c>
      <c r="X476" s="16">
        <v>0</v>
      </c>
      <c r="Y476" s="16">
        <v>70</v>
      </c>
      <c r="Z476" s="16">
        <v>30</v>
      </c>
      <c r="AA476" s="16">
        <v>0</v>
      </c>
      <c r="AB476" s="16">
        <v>0</v>
      </c>
      <c r="AC476" s="16" t="s">
        <v>1314</v>
      </c>
      <c r="AD476" s="25" t="s">
        <v>117</v>
      </c>
      <c r="AE476" s="23"/>
    </row>
    <row r="477" spans="1:34" ht="20" x14ac:dyDescent="0.2">
      <c r="A477" s="17" t="s">
        <v>3921</v>
      </c>
      <c r="B477" s="17" t="s">
        <v>45</v>
      </c>
      <c r="C477" s="17">
        <v>2025</v>
      </c>
      <c r="D477" s="17" t="str">
        <f t="array" ref="D477">_xlfn.SWITCH(E477,"Bagor","35.18.14","Sukomoro",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77" s="16" t="s">
        <v>45</v>
      </c>
      <c r="F477" s="33" t="s">
        <v>1315</v>
      </c>
      <c r="G477" s="33" t="s">
        <v>1316</v>
      </c>
      <c r="H477" s="16" t="s">
        <v>81</v>
      </c>
      <c r="I477" s="16">
        <v>3</v>
      </c>
      <c r="J477" s="16">
        <v>0</v>
      </c>
      <c r="K477" s="16">
        <f t="shared" si="8"/>
        <v>3</v>
      </c>
      <c r="L477" s="18">
        <v>200000000</v>
      </c>
      <c r="M477" s="17" t="s">
        <v>1317</v>
      </c>
      <c r="N477" s="18">
        <v>120000</v>
      </c>
      <c r="O477" s="16" t="s">
        <v>143</v>
      </c>
      <c r="P477" s="30">
        <f>N477*20000</f>
        <v>2400000000</v>
      </c>
      <c r="Q477" s="17" t="s">
        <v>1318</v>
      </c>
      <c r="R477" s="18">
        <v>95000</v>
      </c>
      <c r="S477" s="16" t="s">
        <v>1049</v>
      </c>
      <c r="T477" s="30">
        <v>1220750000</v>
      </c>
      <c r="U477" s="16" t="s">
        <v>22</v>
      </c>
      <c r="V477" s="16">
        <v>0</v>
      </c>
      <c r="W477" s="16">
        <v>0</v>
      </c>
      <c r="X477" s="16">
        <v>0</v>
      </c>
      <c r="Y477" s="16">
        <v>60</v>
      </c>
      <c r="Z477" s="16">
        <v>40</v>
      </c>
      <c r="AA477" s="16">
        <v>0</v>
      </c>
      <c r="AB477" s="16">
        <v>0</v>
      </c>
      <c r="AC477" s="16" t="s">
        <v>1319</v>
      </c>
      <c r="AD477" s="25" t="s">
        <v>1320</v>
      </c>
      <c r="AE477" s="23"/>
    </row>
    <row r="478" spans="1:34" x14ac:dyDescent="0.2">
      <c r="A478" s="17" t="s">
        <v>3921</v>
      </c>
      <c r="B478" s="17" t="s">
        <v>45</v>
      </c>
      <c r="C478" s="17">
        <v>2025</v>
      </c>
      <c r="D478" s="17" t="str">
        <f t="array" ref="D478">_xlfn.SWITCH(E478,"Bagor","35.18.14","Sukomoro",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478" s="16" t="s">
        <v>162</v>
      </c>
      <c r="F478" s="33" t="s">
        <v>1321</v>
      </c>
      <c r="G478" s="33" t="s">
        <v>1322</v>
      </c>
      <c r="H478" s="16" t="s">
        <v>47</v>
      </c>
      <c r="I478" s="16">
        <v>6</v>
      </c>
      <c r="J478" s="16">
        <v>18</v>
      </c>
      <c r="K478" s="16">
        <f t="shared" si="8"/>
        <v>24</v>
      </c>
      <c r="L478" s="18">
        <v>73000000</v>
      </c>
      <c r="M478" s="17" t="s">
        <v>1323</v>
      </c>
      <c r="N478" s="18">
        <v>3750</v>
      </c>
      <c r="O478" s="16" t="s">
        <v>422</v>
      </c>
      <c r="P478" s="30">
        <v>150000000</v>
      </c>
      <c r="Q478" s="17" t="s">
        <v>1239</v>
      </c>
      <c r="R478" s="18">
        <v>3000</v>
      </c>
      <c r="S478" s="16" t="s">
        <v>422</v>
      </c>
      <c r="T478" s="30">
        <v>70000000</v>
      </c>
      <c r="U478" s="16" t="s">
        <v>22</v>
      </c>
      <c r="V478" s="16">
        <v>0</v>
      </c>
      <c r="W478" s="16">
        <v>0</v>
      </c>
      <c r="X478" s="16">
        <v>0</v>
      </c>
      <c r="Y478" s="16">
        <v>90</v>
      </c>
      <c r="Z478" s="16">
        <v>10</v>
      </c>
      <c r="AA478" s="16">
        <v>0</v>
      </c>
      <c r="AB478" s="16">
        <v>0</v>
      </c>
      <c r="AC478" s="16" t="s">
        <v>1324</v>
      </c>
      <c r="AD478" s="25" t="s">
        <v>1325</v>
      </c>
      <c r="AE478" s="23"/>
    </row>
    <row r="479" spans="1:34" ht="20" x14ac:dyDescent="0.2">
      <c r="A479" s="17" t="s">
        <v>3921</v>
      </c>
      <c r="B479" s="17" t="s">
        <v>45</v>
      </c>
      <c r="C479" s="17">
        <v>2025</v>
      </c>
      <c r="D479" s="17" t="str">
        <f t="array" ref="D479">_xlfn.SWITCH(E479,"Bagor","35.18.14","Sukomoro",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79" s="16" t="s">
        <v>45</v>
      </c>
      <c r="F479" s="33" t="s">
        <v>1326</v>
      </c>
      <c r="G479" s="33" t="s">
        <v>1327</v>
      </c>
      <c r="H479" s="16" t="s">
        <v>47</v>
      </c>
      <c r="I479" s="16">
        <v>4</v>
      </c>
      <c r="J479" s="16">
        <v>0</v>
      </c>
      <c r="K479" s="16">
        <f t="shared" si="8"/>
        <v>4</v>
      </c>
      <c r="L479" s="18">
        <v>30000000</v>
      </c>
      <c r="M479" s="17" t="s">
        <v>48</v>
      </c>
      <c r="N479" s="18">
        <v>30</v>
      </c>
      <c r="O479" s="16" t="s">
        <v>51</v>
      </c>
      <c r="P479" s="30">
        <f>N479*10250000</f>
        <v>307500000</v>
      </c>
      <c r="Q479" s="17" t="s">
        <v>57</v>
      </c>
      <c r="R479" s="18">
        <v>35</v>
      </c>
      <c r="S479" s="16" t="s">
        <v>51</v>
      </c>
      <c r="T479" s="30">
        <f>R479*4000000</f>
        <v>140000000</v>
      </c>
      <c r="U479" s="16" t="s">
        <v>22</v>
      </c>
      <c r="V479" s="16" t="s">
        <v>52</v>
      </c>
      <c r="W479" s="16">
        <v>300</v>
      </c>
      <c r="X479" s="16" t="s">
        <v>53</v>
      </c>
      <c r="Y479" s="16">
        <v>80</v>
      </c>
      <c r="Z479" s="16">
        <v>20</v>
      </c>
      <c r="AA479" s="16">
        <v>0</v>
      </c>
      <c r="AB479" s="16">
        <v>0</v>
      </c>
      <c r="AC479" s="16" t="s">
        <v>1328</v>
      </c>
      <c r="AD479" s="25" t="s">
        <v>1329</v>
      </c>
      <c r="AE479" s="23"/>
    </row>
    <row r="480" spans="1:34" x14ac:dyDescent="0.2">
      <c r="A480" s="17" t="s">
        <v>3921</v>
      </c>
      <c r="B480" s="17" t="s">
        <v>45</v>
      </c>
      <c r="C480" s="17">
        <v>2025</v>
      </c>
      <c r="D480" s="17" t="str">
        <f t="array" ref="D480">_xlfn.SWITCH(E480,"Jatikalen","35.18.20","Kertosono", "35.18.08","Lengkong","35.18.19","Loceret","35.18.04","Tanjunganom","35.18.11","Wilangan","35.18.15")</f>
        <v>35.18.19</v>
      </c>
      <c r="E480" s="16" t="s">
        <v>64</v>
      </c>
      <c r="F480" s="33" t="s">
        <v>1330</v>
      </c>
      <c r="G480" s="33" t="s">
        <v>1331</v>
      </c>
      <c r="H480" s="16" t="s">
        <v>47</v>
      </c>
      <c r="I480" s="16">
        <v>10</v>
      </c>
      <c r="J480" s="16">
        <v>0</v>
      </c>
      <c r="K480" s="16">
        <f t="shared" si="8"/>
        <v>10</v>
      </c>
      <c r="L480" s="18">
        <v>80000000</v>
      </c>
      <c r="M480" s="17" t="s">
        <v>108</v>
      </c>
      <c r="N480" s="18">
        <v>21</v>
      </c>
      <c r="O480" s="16" t="s">
        <v>51</v>
      </c>
      <c r="P480" s="30">
        <f>N480*10300000</f>
        <v>216300000</v>
      </c>
      <c r="Q480" s="17" t="s">
        <v>57</v>
      </c>
      <c r="R480" s="18">
        <v>27</v>
      </c>
      <c r="S480" s="16" t="s">
        <v>51</v>
      </c>
      <c r="T480" s="30">
        <f>R480*4000000</f>
        <v>108000000</v>
      </c>
      <c r="U480" s="16" t="s">
        <v>22</v>
      </c>
      <c r="V480" s="16" t="s">
        <v>52</v>
      </c>
      <c r="W480" s="16">
        <v>250</v>
      </c>
      <c r="X480" s="16" t="s">
        <v>53</v>
      </c>
      <c r="Y480" s="16">
        <v>80</v>
      </c>
      <c r="Z480" s="16">
        <v>20</v>
      </c>
      <c r="AA480" s="16">
        <v>0</v>
      </c>
      <c r="AB480" s="16">
        <v>0</v>
      </c>
      <c r="AC480" s="16" t="s">
        <v>1332</v>
      </c>
      <c r="AD480" s="25" t="s">
        <v>1333</v>
      </c>
      <c r="AE480" s="23"/>
    </row>
    <row r="481" spans="1:84" x14ac:dyDescent="0.2">
      <c r="A481" s="17" t="s">
        <v>3921</v>
      </c>
      <c r="B481" s="17" t="s">
        <v>45</v>
      </c>
      <c r="C481" s="17">
        <v>2025</v>
      </c>
      <c r="D481" s="17" t="str">
        <f t="array" ref="D481">_xlfn.SWITCH(E481,"Bagor","35.18.14","Sukomoro",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81" s="16" t="s">
        <v>45</v>
      </c>
      <c r="F481" s="33" t="s">
        <v>1334</v>
      </c>
      <c r="G481" s="33" t="s">
        <v>1335</v>
      </c>
      <c r="H481" s="16" t="s">
        <v>81</v>
      </c>
      <c r="I481" s="16">
        <v>4</v>
      </c>
      <c r="J481" s="16">
        <v>2</v>
      </c>
      <c r="K481" s="16">
        <f t="shared" si="8"/>
        <v>6</v>
      </c>
      <c r="L481" s="18">
        <v>100000000</v>
      </c>
      <c r="M481" s="17" t="s">
        <v>1336</v>
      </c>
      <c r="N481" s="18" t="s">
        <v>1337</v>
      </c>
      <c r="O481" s="16" t="s">
        <v>1130</v>
      </c>
      <c r="P481" s="30">
        <v>235450000</v>
      </c>
      <c r="Q481" s="17" t="s">
        <v>902</v>
      </c>
      <c r="R481" s="18">
        <v>180</v>
      </c>
      <c r="S481" s="16" t="s">
        <v>229</v>
      </c>
      <c r="T481" s="30">
        <v>117280300</v>
      </c>
      <c r="U481" s="16" t="s">
        <v>22</v>
      </c>
      <c r="V481" s="16">
        <v>0</v>
      </c>
      <c r="W481" s="16">
        <v>0</v>
      </c>
      <c r="X481" s="16">
        <v>0</v>
      </c>
      <c r="Y481" s="16">
        <v>75</v>
      </c>
      <c r="Z481" s="16">
        <v>25</v>
      </c>
      <c r="AA481" s="16">
        <v>0</v>
      </c>
      <c r="AB481" s="16">
        <v>0</v>
      </c>
      <c r="AC481" s="16" t="s">
        <v>1338</v>
      </c>
      <c r="AD481" s="25" t="s">
        <v>1339</v>
      </c>
      <c r="AE481" s="23"/>
    </row>
    <row r="482" spans="1:84" ht="20" x14ac:dyDescent="0.2">
      <c r="A482" s="17" t="s">
        <v>3921</v>
      </c>
      <c r="B482" s="17" t="s">
        <v>45</v>
      </c>
      <c r="C482" s="17">
        <v>2025</v>
      </c>
      <c r="D482" s="17" t="str">
        <f t="array" ref="D482">_xlfn.SWITCH(E482,"Bagor","35.18.14","Sukomoro",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82" s="16" t="s">
        <v>149</v>
      </c>
      <c r="F482" s="33" t="s">
        <v>1340</v>
      </c>
      <c r="G482" s="33" t="s">
        <v>1341</v>
      </c>
      <c r="H482" s="16" t="s">
        <v>47</v>
      </c>
      <c r="I482" s="16">
        <v>4</v>
      </c>
      <c r="J482" s="16">
        <v>0</v>
      </c>
      <c r="K482" s="16">
        <f t="shared" ref="K482:K513" si="9">J482+I482</f>
        <v>4</v>
      </c>
      <c r="L482" s="18">
        <v>50000000</v>
      </c>
      <c r="M482" s="17" t="s">
        <v>108</v>
      </c>
      <c r="N482" s="18">
        <v>30</v>
      </c>
      <c r="O482" s="16" t="s">
        <v>51</v>
      </c>
      <c r="P482" s="30">
        <f>N482*10270000</f>
        <v>308100000</v>
      </c>
      <c r="Q482" s="17" t="s">
        <v>57</v>
      </c>
      <c r="R482" s="18">
        <v>35</v>
      </c>
      <c r="S482" s="16" t="s">
        <v>51</v>
      </c>
      <c r="T482" s="30">
        <f>R482*4500000</f>
        <v>157500000</v>
      </c>
      <c r="U482" s="16" t="s">
        <v>22</v>
      </c>
      <c r="V482" s="16" t="s">
        <v>52</v>
      </c>
      <c r="W482" s="16">
        <v>300</v>
      </c>
      <c r="X482" s="16" t="s">
        <v>53</v>
      </c>
      <c r="Y482" s="16">
        <v>70</v>
      </c>
      <c r="Z482" s="16">
        <v>30</v>
      </c>
      <c r="AA482" s="16">
        <v>0</v>
      </c>
      <c r="AB482" s="16">
        <v>0</v>
      </c>
      <c r="AC482" s="16" t="s">
        <v>1342</v>
      </c>
      <c r="AD482" s="25" t="s">
        <v>1343</v>
      </c>
      <c r="AE482" s="23"/>
    </row>
    <row r="483" spans="1:84" ht="20" x14ac:dyDescent="0.2">
      <c r="A483" s="17" t="s">
        <v>3921</v>
      </c>
      <c r="B483" s="17" t="s">
        <v>45</v>
      </c>
      <c r="C483" s="17">
        <v>2025</v>
      </c>
      <c r="D483" s="17" t="str">
        <f t="array" ref="D483">_xlfn.SWITCH(E483,"Bagor","35.18.14","Sukomoro",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83" s="16" t="s">
        <v>149</v>
      </c>
      <c r="F483" s="33" t="s">
        <v>1344</v>
      </c>
      <c r="G483" s="33" t="s">
        <v>1345</v>
      </c>
      <c r="H483" s="16" t="s">
        <v>31</v>
      </c>
      <c r="I483" s="16">
        <v>4</v>
      </c>
      <c r="J483" s="16">
        <v>1</v>
      </c>
      <c r="K483" s="16">
        <f t="shared" si="9"/>
        <v>5</v>
      </c>
      <c r="L483" s="18">
        <v>10000000</v>
      </c>
      <c r="M483" s="17" t="s">
        <v>108</v>
      </c>
      <c r="N483" s="18">
        <v>20</v>
      </c>
      <c r="O483" s="16" t="s">
        <v>51</v>
      </c>
      <c r="P483" s="30">
        <f>N483*10000000</f>
        <v>200000000</v>
      </c>
      <c r="Q483" s="17" t="s">
        <v>57</v>
      </c>
      <c r="R483" s="18">
        <v>25</v>
      </c>
      <c r="S483" s="16" t="s">
        <v>51</v>
      </c>
      <c r="T483" s="30">
        <f>R483*4000000</f>
        <v>100000000</v>
      </c>
      <c r="U483" s="16" t="s">
        <v>22</v>
      </c>
      <c r="V483" s="16" t="s">
        <v>52</v>
      </c>
      <c r="W483" s="16">
        <v>250</v>
      </c>
      <c r="X483" s="16" t="s">
        <v>53</v>
      </c>
      <c r="Y483" s="16">
        <v>90</v>
      </c>
      <c r="Z483" s="16">
        <v>10</v>
      </c>
      <c r="AA483" s="16">
        <v>0</v>
      </c>
      <c r="AB483" s="16">
        <v>0</v>
      </c>
      <c r="AC483" s="16" t="s">
        <v>1346</v>
      </c>
      <c r="AD483" s="25" t="s">
        <v>1347</v>
      </c>
      <c r="AE483" s="23"/>
    </row>
    <row r="484" spans="1:84" x14ac:dyDescent="0.2">
      <c r="A484" s="17" t="s">
        <v>3921</v>
      </c>
      <c r="B484" s="17" t="s">
        <v>45</v>
      </c>
      <c r="C484" s="17">
        <v>2025</v>
      </c>
      <c r="D484" s="17" t="str">
        <f t="array" ref="D484">_xlfn.SWITCH(E484,"Bagor","35.18.14","Sukomoro",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84" s="16" t="s">
        <v>149</v>
      </c>
      <c r="F484" s="33" t="s">
        <v>1348</v>
      </c>
      <c r="G484" s="33" t="s">
        <v>1349</v>
      </c>
      <c r="H484" s="16" t="s">
        <v>47</v>
      </c>
      <c r="I484" s="16">
        <v>4</v>
      </c>
      <c r="J484" s="16">
        <v>1</v>
      </c>
      <c r="K484" s="16">
        <f t="shared" si="9"/>
        <v>5</v>
      </c>
      <c r="L484" s="18">
        <v>10000000</v>
      </c>
      <c r="M484" s="17" t="s">
        <v>108</v>
      </c>
      <c r="N484" s="18">
        <v>20</v>
      </c>
      <c r="O484" s="16" t="s">
        <v>51</v>
      </c>
      <c r="P484" s="30">
        <f>N484*10150000</f>
        <v>203000000</v>
      </c>
      <c r="Q484" s="17" t="s">
        <v>57</v>
      </c>
      <c r="R484" s="18">
        <v>25</v>
      </c>
      <c r="S484" s="16" t="s">
        <v>51</v>
      </c>
      <c r="T484" s="30">
        <f>R484*4110000</f>
        <v>102750000</v>
      </c>
      <c r="U484" s="16" t="s">
        <v>22</v>
      </c>
      <c r="V484" s="16" t="s">
        <v>52</v>
      </c>
      <c r="W484" s="16">
        <v>250</v>
      </c>
      <c r="X484" s="16" t="s">
        <v>53</v>
      </c>
      <c r="Y484" s="16">
        <v>90</v>
      </c>
      <c r="Z484" s="16">
        <v>10</v>
      </c>
      <c r="AA484" s="16">
        <v>0</v>
      </c>
      <c r="AB484" s="16">
        <v>0</v>
      </c>
      <c r="AC484" s="16" t="s">
        <v>1350</v>
      </c>
      <c r="AD484" s="25" t="s">
        <v>1347</v>
      </c>
      <c r="AE484" s="23"/>
    </row>
    <row r="485" spans="1:84" s="2" customFormat="1" x14ac:dyDescent="0.2">
      <c r="A485" s="17" t="s">
        <v>3921</v>
      </c>
      <c r="B485" s="17" t="s">
        <v>45</v>
      </c>
      <c r="C485" s="17">
        <v>2025</v>
      </c>
      <c r="D485" s="17" t="str">
        <f t="array" ref="D485">_xlfn.SWITCH(E485,"Bagor","35.18.14","Sukomoro",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85" s="16" t="s">
        <v>157</v>
      </c>
      <c r="F485" s="33" t="s">
        <v>1351</v>
      </c>
      <c r="G485" s="33" t="s">
        <v>1352</v>
      </c>
      <c r="H485" s="16" t="s">
        <v>31</v>
      </c>
      <c r="I485" s="16">
        <v>5</v>
      </c>
      <c r="J485" s="16">
        <v>0</v>
      </c>
      <c r="K485" s="16">
        <f t="shared" si="9"/>
        <v>5</v>
      </c>
      <c r="L485" s="18">
        <v>10000000</v>
      </c>
      <c r="M485" s="17" t="s">
        <v>108</v>
      </c>
      <c r="N485" s="18">
        <v>20</v>
      </c>
      <c r="O485" s="16" t="s">
        <v>51</v>
      </c>
      <c r="P485" s="30">
        <f>N485*10000000</f>
        <v>200000000</v>
      </c>
      <c r="Q485" s="17" t="s">
        <v>57</v>
      </c>
      <c r="R485" s="18">
        <v>26</v>
      </c>
      <c r="S485" s="16" t="s">
        <v>51</v>
      </c>
      <c r="T485" s="30">
        <f>R485*4000000</f>
        <v>104000000</v>
      </c>
      <c r="U485" s="16" t="s">
        <v>22</v>
      </c>
      <c r="V485" s="16" t="s">
        <v>52</v>
      </c>
      <c r="W485" s="16">
        <v>260</v>
      </c>
      <c r="X485" s="16" t="s">
        <v>53</v>
      </c>
      <c r="Y485" s="16">
        <v>80</v>
      </c>
      <c r="Z485" s="16">
        <v>20</v>
      </c>
      <c r="AA485" s="16">
        <v>0</v>
      </c>
      <c r="AB485" s="16">
        <v>0</v>
      </c>
      <c r="AC485" s="16" t="s">
        <v>1353</v>
      </c>
      <c r="AD485" s="25" t="s">
        <v>1347</v>
      </c>
      <c r="AE485" s="23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</row>
    <row r="486" spans="1:84" s="2" customFormat="1" ht="30" x14ac:dyDescent="0.2">
      <c r="A486" s="17" t="s">
        <v>3921</v>
      </c>
      <c r="B486" s="17" t="s">
        <v>45</v>
      </c>
      <c r="C486" s="17">
        <v>2025</v>
      </c>
      <c r="D486" s="17" t="str">
        <f t="array" ref="D486">_xlfn.SWITCH(E486,"Bagor","35.18.14","Sukomoro",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86" s="16" t="s">
        <v>71</v>
      </c>
      <c r="F486" s="33" t="s">
        <v>1354</v>
      </c>
      <c r="G486" s="33" t="s">
        <v>1355</v>
      </c>
      <c r="H486" s="16" t="s">
        <v>81</v>
      </c>
      <c r="I486" s="16">
        <v>7</v>
      </c>
      <c r="J486" s="16">
        <v>5</v>
      </c>
      <c r="K486" s="16">
        <f t="shared" si="9"/>
        <v>12</v>
      </c>
      <c r="L486" s="18">
        <v>30000000</v>
      </c>
      <c r="M486" s="17" t="s">
        <v>354</v>
      </c>
      <c r="N486" s="18">
        <v>1080</v>
      </c>
      <c r="O486" s="16" t="s">
        <v>422</v>
      </c>
      <c r="P486" s="30">
        <f>N486*300000</f>
        <v>324000000</v>
      </c>
      <c r="Q486" s="17" t="s">
        <v>1005</v>
      </c>
      <c r="R486" s="18">
        <v>3</v>
      </c>
      <c r="S486" s="16" t="s">
        <v>83</v>
      </c>
      <c r="T486" s="30">
        <f>R486*50000</f>
        <v>150000</v>
      </c>
      <c r="U486" s="16" t="s">
        <v>22</v>
      </c>
      <c r="V486" s="16" t="s">
        <v>50</v>
      </c>
      <c r="W486" s="16">
        <v>30</v>
      </c>
      <c r="X486" s="16" t="s">
        <v>51</v>
      </c>
      <c r="Y486" s="16">
        <v>80</v>
      </c>
      <c r="Z486" s="16">
        <v>20</v>
      </c>
      <c r="AA486" s="16">
        <v>0</v>
      </c>
      <c r="AB486" s="16">
        <v>0</v>
      </c>
      <c r="AC486" s="16" t="s">
        <v>1356</v>
      </c>
      <c r="AD486" s="25" t="s">
        <v>1357</v>
      </c>
      <c r="AE486" s="23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</row>
    <row r="487" spans="1:84" s="2" customFormat="1" x14ac:dyDescent="0.2">
      <c r="A487" s="17" t="s">
        <v>3921</v>
      </c>
      <c r="B487" s="17" t="s">
        <v>45</v>
      </c>
      <c r="C487" s="17">
        <v>2025</v>
      </c>
      <c r="D487" s="17" t="str">
        <f t="array" ref="D487">_xlfn.SWITCH(E487,"Jatikalen","35.18.20","Kertosono", "35.18.08","Lengkong","35.18.19","Loceret","35.18.04","Tanjunganom","35.18.11","Wilangan","35.18.15")</f>
        <v>35.18.15</v>
      </c>
      <c r="E487" s="16" t="s">
        <v>1158</v>
      </c>
      <c r="F487" s="33" t="s">
        <v>1358</v>
      </c>
      <c r="G487" s="33" t="s">
        <v>1359</v>
      </c>
      <c r="H487" s="16" t="s">
        <v>47</v>
      </c>
      <c r="I487" s="16">
        <v>3</v>
      </c>
      <c r="J487" s="16">
        <v>0</v>
      </c>
      <c r="K487" s="16">
        <f t="shared" si="9"/>
        <v>3</v>
      </c>
      <c r="L487" s="18">
        <v>20000000</v>
      </c>
      <c r="M487" s="17" t="s">
        <v>108</v>
      </c>
      <c r="N487" s="18">
        <v>30</v>
      </c>
      <c r="O487" s="16" t="s">
        <v>51</v>
      </c>
      <c r="P487" s="30">
        <f>N487*10800000</f>
        <v>324000000</v>
      </c>
      <c r="Q487" s="17" t="s">
        <v>57</v>
      </c>
      <c r="R487" s="18">
        <v>35</v>
      </c>
      <c r="S487" s="16" t="s">
        <v>51</v>
      </c>
      <c r="T487" s="30">
        <f>R487*4350000</f>
        <v>152250000</v>
      </c>
      <c r="U487" s="16" t="s">
        <v>22</v>
      </c>
      <c r="V487" s="16" t="s">
        <v>52</v>
      </c>
      <c r="W487" s="16">
        <v>300</v>
      </c>
      <c r="X487" s="16" t="s">
        <v>53</v>
      </c>
      <c r="Y487" s="16">
        <v>75</v>
      </c>
      <c r="Z487" s="16">
        <v>25</v>
      </c>
      <c r="AA487" s="16">
        <v>0</v>
      </c>
      <c r="AB487" s="16">
        <v>0</v>
      </c>
      <c r="AC487" s="16" t="s">
        <v>1360</v>
      </c>
      <c r="AD487" s="25" t="s">
        <v>1361</v>
      </c>
      <c r="AE487" s="23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</row>
    <row r="488" spans="1:84" s="2" customFormat="1" x14ac:dyDescent="0.2">
      <c r="A488" s="17" t="s">
        <v>3921</v>
      </c>
      <c r="B488" s="17" t="s">
        <v>45</v>
      </c>
      <c r="C488" s="17">
        <v>2025</v>
      </c>
      <c r="D488" s="17" t="str">
        <f t="array" ref="D488">_xlfn.SWITCH(E488,"Bagor","35.18.14","Sukomoro",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88" s="16" t="s">
        <v>149</v>
      </c>
      <c r="F488" s="33" t="s">
        <v>1362</v>
      </c>
      <c r="G488" s="33" t="s">
        <v>1363</v>
      </c>
      <c r="H488" s="16" t="s">
        <v>47</v>
      </c>
      <c r="I488" s="16">
        <v>3</v>
      </c>
      <c r="J488" s="16">
        <v>0</v>
      </c>
      <c r="K488" s="16">
        <f t="shared" si="9"/>
        <v>3</v>
      </c>
      <c r="L488" s="18">
        <v>25000000</v>
      </c>
      <c r="M488" s="17" t="s">
        <v>108</v>
      </c>
      <c r="N488" s="18">
        <v>30</v>
      </c>
      <c r="O488" s="16" t="s">
        <v>51</v>
      </c>
      <c r="P488" s="30">
        <f>N488*10850000</f>
        <v>325500000</v>
      </c>
      <c r="Q488" s="17" t="s">
        <v>57</v>
      </c>
      <c r="R488" s="18">
        <v>37</v>
      </c>
      <c r="S488" s="16" t="s">
        <v>51</v>
      </c>
      <c r="T488" s="30">
        <f>R488*4350000</f>
        <v>160950000</v>
      </c>
      <c r="U488" s="16" t="s">
        <v>22</v>
      </c>
      <c r="V488" s="16" t="s">
        <v>52</v>
      </c>
      <c r="W488" s="16">
        <v>300</v>
      </c>
      <c r="X488" s="16" t="s">
        <v>53</v>
      </c>
      <c r="Y488" s="16">
        <v>75</v>
      </c>
      <c r="Z488" s="16">
        <v>25</v>
      </c>
      <c r="AA488" s="16">
        <v>0</v>
      </c>
      <c r="AB488" s="16">
        <v>0</v>
      </c>
      <c r="AC488" s="16" t="s">
        <v>1364</v>
      </c>
      <c r="AD488" s="25" t="s">
        <v>1361</v>
      </c>
      <c r="AE488" s="23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</row>
    <row r="489" spans="1:84" s="2" customFormat="1" ht="20" x14ac:dyDescent="0.2">
      <c r="A489" s="17" t="s">
        <v>3921</v>
      </c>
      <c r="B489" s="17" t="s">
        <v>45</v>
      </c>
      <c r="C489" s="17">
        <v>2025</v>
      </c>
      <c r="D489" s="17" t="str">
        <f t="array" ref="D489">_xlfn.SWITCH(E489,"Jatikalen","35.18.20","Kertosono", "35.18.08","Lengkong","35.18.19","Loceret","35.18.04","Tanjunganom","35.18.11","Wilangan","35.18.15")</f>
        <v>35.18.04</v>
      </c>
      <c r="E489" s="16" t="s">
        <v>41</v>
      </c>
      <c r="F489" s="33" t="s">
        <v>1365</v>
      </c>
      <c r="G489" s="33" t="s">
        <v>1366</v>
      </c>
      <c r="H489" s="16" t="s">
        <v>31</v>
      </c>
      <c r="I489" s="16">
        <v>1</v>
      </c>
      <c r="J489" s="16">
        <v>8</v>
      </c>
      <c r="K489" s="16">
        <f t="shared" si="9"/>
        <v>9</v>
      </c>
      <c r="L489" s="18">
        <v>20000000</v>
      </c>
      <c r="M489" s="17" t="s">
        <v>1367</v>
      </c>
      <c r="N489" s="18">
        <v>3000</v>
      </c>
      <c r="O489" s="16" t="s">
        <v>1368</v>
      </c>
      <c r="P489" s="30">
        <f>N489*200000</f>
        <v>600000000</v>
      </c>
      <c r="Q489" s="17" t="s">
        <v>1369</v>
      </c>
      <c r="R489" s="18">
        <v>3500</v>
      </c>
      <c r="S489" s="16" t="s">
        <v>1368</v>
      </c>
      <c r="T489" s="30">
        <f>R489*60000</f>
        <v>210000000</v>
      </c>
      <c r="U489" s="16" t="s">
        <v>22</v>
      </c>
      <c r="V489" s="16" t="s">
        <v>1370</v>
      </c>
      <c r="W489" s="16">
        <v>2000</v>
      </c>
      <c r="X489" s="16" t="s">
        <v>53</v>
      </c>
      <c r="Y489" s="16">
        <v>60</v>
      </c>
      <c r="Z489" s="16">
        <v>40</v>
      </c>
      <c r="AA489" s="16">
        <v>0</v>
      </c>
      <c r="AB489" s="16">
        <v>0</v>
      </c>
      <c r="AC489" s="16" t="s">
        <v>1371</v>
      </c>
      <c r="AD489" s="25" t="s">
        <v>1372</v>
      </c>
      <c r="AE489" s="23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</row>
    <row r="490" spans="1:84" s="2" customFormat="1" x14ac:dyDescent="0.2">
      <c r="A490" s="17" t="s">
        <v>3921</v>
      </c>
      <c r="B490" s="17" t="s">
        <v>45</v>
      </c>
      <c r="C490" s="17">
        <v>2025</v>
      </c>
      <c r="D490" s="17" t="str">
        <f t="array" ref="D490">_xlfn.SWITCH(E490,"Bagor","35.18.14","Sukomoro",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490" s="16" t="s">
        <v>162</v>
      </c>
      <c r="F490" s="33" t="s">
        <v>830</v>
      </c>
      <c r="G490" s="33" t="s">
        <v>1373</v>
      </c>
      <c r="H490" s="16" t="s">
        <v>31</v>
      </c>
      <c r="I490" s="16">
        <v>4</v>
      </c>
      <c r="J490" s="16">
        <v>0</v>
      </c>
      <c r="K490" s="16">
        <f t="shared" si="9"/>
        <v>4</v>
      </c>
      <c r="L490" s="18">
        <v>50000000</v>
      </c>
      <c r="M490" s="17" t="s">
        <v>108</v>
      </c>
      <c r="N490" s="18">
        <v>20</v>
      </c>
      <c r="O490" s="16" t="s">
        <v>69</v>
      </c>
      <c r="P490" s="30">
        <f>N490*19500000</f>
        <v>390000000</v>
      </c>
      <c r="Q490" s="17" t="s">
        <v>212</v>
      </c>
      <c r="R490" s="18">
        <v>25</v>
      </c>
      <c r="S490" s="16" t="s">
        <v>51</v>
      </c>
      <c r="T490" s="30">
        <v>215750000</v>
      </c>
      <c r="U490" s="16" t="s">
        <v>22</v>
      </c>
      <c r="V490" s="16" t="s">
        <v>52</v>
      </c>
      <c r="W490" s="16">
        <v>250</v>
      </c>
      <c r="X490" s="16" t="s">
        <v>53</v>
      </c>
      <c r="Y490" s="16">
        <v>75</v>
      </c>
      <c r="Z490" s="16">
        <v>25</v>
      </c>
      <c r="AA490" s="16">
        <v>0</v>
      </c>
      <c r="AB490" s="16">
        <v>0</v>
      </c>
      <c r="AC490" s="26" t="s">
        <v>1374</v>
      </c>
      <c r="AD490" s="27" t="s">
        <v>1375</v>
      </c>
      <c r="AE490" s="23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</row>
    <row r="491" spans="1:84" s="2" customFormat="1" x14ac:dyDescent="0.2">
      <c r="A491" s="17" t="s">
        <v>3921</v>
      </c>
      <c r="B491" s="17" t="s">
        <v>45</v>
      </c>
      <c r="C491" s="17">
        <v>2025</v>
      </c>
      <c r="D491" s="17" t="str">
        <f t="array" ref="D491">_xlfn.SWITCH(E491,"Jatikalen","35.18.20","Kertosono", "35.18.08","Lengkong","35.18.19","Loceret","35.18.04","Tanjunganom","35.18.11","Wilangan","35.18.15")</f>
        <v>35.18.04</v>
      </c>
      <c r="E491" s="16" t="s">
        <v>41</v>
      </c>
      <c r="F491" s="33" t="s">
        <v>1376</v>
      </c>
      <c r="G491" s="33" t="s">
        <v>1377</v>
      </c>
      <c r="H491" s="16" t="s">
        <v>47</v>
      </c>
      <c r="I491" s="16">
        <v>5</v>
      </c>
      <c r="J491" s="16">
        <v>1</v>
      </c>
      <c r="K491" s="16">
        <f t="shared" si="9"/>
        <v>6</v>
      </c>
      <c r="L491" s="18">
        <v>60000000</v>
      </c>
      <c r="M491" s="17" t="s">
        <v>108</v>
      </c>
      <c r="N491" s="18">
        <v>24</v>
      </c>
      <c r="O491" s="16" t="s">
        <v>51</v>
      </c>
      <c r="P491" s="30">
        <f>N491*19500000</f>
        <v>468000000</v>
      </c>
      <c r="Q491" s="17" t="s">
        <v>212</v>
      </c>
      <c r="R491" s="18">
        <v>28</v>
      </c>
      <c r="S491" s="16" t="s">
        <v>51</v>
      </c>
      <c r="T491" s="30">
        <v>250000000</v>
      </c>
      <c r="U491" s="16" t="s">
        <v>22</v>
      </c>
      <c r="V491" s="16">
        <v>0</v>
      </c>
      <c r="W491" s="16">
        <v>0</v>
      </c>
      <c r="X491" s="16">
        <v>0</v>
      </c>
      <c r="Y491" s="16">
        <v>80</v>
      </c>
      <c r="Z491" s="16">
        <v>20</v>
      </c>
      <c r="AA491" s="16">
        <v>0</v>
      </c>
      <c r="AB491" s="16">
        <v>0</v>
      </c>
      <c r="AC491" s="16" t="s">
        <v>1378</v>
      </c>
      <c r="AD491" s="25" t="s">
        <v>1379</v>
      </c>
      <c r="AE491" s="23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</row>
    <row r="492" spans="1:84" s="2" customFormat="1" x14ac:dyDescent="0.2">
      <c r="A492" s="17" t="s">
        <v>3921</v>
      </c>
      <c r="B492" s="17" t="s">
        <v>45</v>
      </c>
      <c r="C492" s="17">
        <v>2025</v>
      </c>
      <c r="D492" s="17" t="str">
        <f t="array" ref="D492">_xlfn.SWITCH(E492,"Bagor","35.18.14","Sukomoro",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92" s="16" t="s">
        <v>149</v>
      </c>
      <c r="F492" s="33" t="s">
        <v>1015</v>
      </c>
      <c r="G492" s="33" t="s">
        <v>1380</v>
      </c>
      <c r="H492" s="16" t="s">
        <v>47</v>
      </c>
      <c r="I492" s="16">
        <v>9</v>
      </c>
      <c r="J492" s="16">
        <v>0</v>
      </c>
      <c r="K492" s="16">
        <f t="shared" si="9"/>
        <v>9</v>
      </c>
      <c r="L492" s="18">
        <v>200000000</v>
      </c>
      <c r="M492" s="17" t="s">
        <v>108</v>
      </c>
      <c r="N492" s="18">
        <v>40</v>
      </c>
      <c r="O492" s="16" t="s">
        <v>51</v>
      </c>
      <c r="P492" s="30">
        <f>N492*19300000</f>
        <v>772000000</v>
      </c>
      <c r="Q492" s="17" t="s">
        <v>212</v>
      </c>
      <c r="R492" s="18">
        <v>44</v>
      </c>
      <c r="S492" s="16" t="s">
        <v>51</v>
      </c>
      <c r="T492" s="30">
        <v>370000000</v>
      </c>
      <c r="U492" s="16" t="s">
        <v>22</v>
      </c>
      <c r="V492" s="16" t="s">
        <v>52</v>
      </c>
      <c r="W492" s="16">
        <v>400</v>
      </c>
      <c r="X492" s="16" t="s">
        <v>53</v>
      </c>
      <c r="Y492" s="16">
        <v>70</v>
      </c>
      <c r="Z492" s="16">
        <v>30</v>
      </c>
      <c r="AA492" s="16">
        <v>0</v>
      </c>
      <c r="AB492" s="16">
        <v>0</v>
      </c>
      <c r="AC492" s="16" t="s">
        <v>1381</v>
      </c>
      <c r="AD492" s="25" t="s">
        <v>1379</v>
      </c>
      <c r="AE492" s="23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</row>
    <row r="493" spans="1:84" s="2" customFormat="1" x14ac:dyDescent="0.2">
      <c r="A493" s="17" t="s">
        <v>3921</v>
      </c>
      <c r="B493" s="17" t="s">
        <v>45</v>
      </c>
      <c r="C493" s="17">
        <v>2025</v>
      </c>
      <c r="D493" s="17" t="str">
        <f t="array" ref="D493">_xlfn.SWITCH(E493,"Bagor","35.18.14","Sukomoro",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93" s="16" t="s">
        <v>149</v>
      </c>
      <c r="F493" s="33" t="s">
        <v>1382</v>
      </c>
      <c r="G493" s="33" t="s">
        <v>1383</v>
      </c>
      <c r="H493" s="16" t="s">
        <v>47</v>
      </c>
      <c r="I493" s="16">
        <v>9</v>
      </c>
      <c r="J493" s="16">
        <v>0</v>
      </c>
      <c r="K493" s="16">
        <f t="shared" si="9"/>
        <v>9</v>
      </c>
      <c r="L493" s="18">
        <v>30000000</v>
      </c>
      <c r="M493" s="17" t="s">
        <v>108</v>
      </c>
      <c r="N493" s="18">
        <v>50</v>
      </c>
      <c r="O493" s="16" t="s">
        <v>51</v>
      </c>
      <c r="P493" s="30">
        <f>N493*11100000</f>
        <v>555000000</v>
      </c>
      <c r="Q493" s="17" t="s">
        <v>57</v>
      </c>
      <c r="R493" s="18">
        <v>56</v>
      </c>
      <c r="S493" s="16" t="s">
        <v>51</v>
      </c>
      <c r="T493" s="30">
        <f>R493*5000000</f>
        <v>280000000</v>
      </c>
      <c r="U493" s="16" t="s">
        <v>22</v>
      </c>
      <c r="V493" s="16" t="s">
        <v>52</v>
      </c>
      <c r="W493" s="16">
        <v>550</v>
      </c>
      <c r="X493" s="16" t="s">
        <v>53</v>
      </c>
      <c r="Y493" s="16">
        <v>60</v>
      </c>
      <c r="Z493" s="16">
        <v>40</v>
      </c>
      <c r="AA493" s="16">
        <v>0</v>
      </c>
      <c r="AB493" s="16">
        <v>0</v>
      </c>
      <c r="AC493" s="16" t="s">
        <v>1384</v>
      </c>
      <c r="AD493" s="31" t="s">
        <v>1385</v>
      </c>
      <c r="AE493" s="23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</row>
    <row r="494" spans="1:84" s="2" customFormat="1" x14ac:dyDescent="0.2">
      <c r="A494" s="17" t="s">
        <v>3921</v>
      </c>
      <c r="B494" s="17" t="s">
        <v>45</v>
      </c>
      <c r="C494" s="17">
        <v>2025</v>
      </c>
      <c r="D494" s="17" t="str">
        <f t="array" ref="D494">_xlfn.SWITCH(E494,"Jatikalen","35.18.20","Kertosono", "35.18.08","Lengkong","35.18.19","Loceret","35.18.04","Tanjunganom","35.18.11","Wilangan","35.18.15")</f>
        <v>35.18.04</v>
      </c>
      <c r="E494" s="16" t="s">
        <v>41</v>
      </c>
      <c r="F494" s="33" t="s">
        <v>757</v>
      </c>
      <c r="G494" s="33" t="s">
        <v>1386</v>
      </c>
      <c r="H494" s="16" t="s">
        <v>81</v>
      </c>
      <c r="I494" s="16">
        <v>10</v>
      </c>
      <c r="J494" s="16">
        <v>0</v>
      </c>
      <c r="K494" s="16">
        <f t="shared" si="9"/>
        <v>10</v>
      </c>
      <c r="L494" s="18">
        <v>20000000</v>
      </c>
      <c r="M494" s="17" t="s">
        <v>1387</v>
      </c>
      <c r="N494" s="18">
        <v>250</v>
      </c>
      <c r="O494" s="16" t="s">
        <v>962</v>
      </c>
      <c r="P494" s="30">
        <v>330850000</v>
      </c>
      <c r="Q494" s="17" t="s">
        <v>1027</v>
      </c>
      <c r="R494" s="18">
        <v>200</v>
      </c>
      <c r="S494" s="16" t="s">
        <v>962</v>
      </c>
      <c r="T494" s="30">
        <v>138300000</v>
      </c>
      <c r="U494" s="16"/>
      <c r="V494" s="16"/>
      <c r="W494" s="16"/>
      <c r="X494" s="16"/>
      <c r="Y494" s="16"/>
      <c r="Z494" s="16"/>
      <c r="AA494" s="16"/>
      <c r="AB494" s="16"/>
      <c r="AC494" s="16" t="s">
        <v>1388</v>
      </c>
      <c r="AD494" s="25" t="s">
        <v>369</v>
      </c>
      <c r="AE494" s="23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</row>
    <row r="495" spans="1:84" s="2" customFormat="1" x14ac:dyDescent="0.2">
      <c r="A495" s="17" t="s">
        <v>3921</v>
      </c>
      <c r="B495" s="17" t="s">
        <v>45</v>
      </c>
      <c r="C495" s="17">
        <v>2025</v>
      </c>
      <c r="D495" s="17" t="str">
        <f t="array" ref="D495">_xlfn.SWITCH(E495,"Bagor","35.18.14","Sukomoro",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95" s="16" t="s">
        <v>71</v>
      </c>
      <c r="F495" s="33" t="s">
        <v>1389</v>
      </c>
      <c r="G495" s="33" t="s">
        <v>1390</v>
      </c>
      <c r="H495" s="16" t="s">
        <v>47</v>
      </c>
      <c r="I495" s="16">
        <v>7</v>
      </c>
      <c r="J495" s="16">
        <v>0</v>
      </c>
      <c r="K495" s="16">
        <f t="shared" si="9"/>
        <v>7</v>
      </c>
      <c r="L495" s="18">
        <v>25000000</v>
      </c>
      <c r="M495" s="17" t="s">
        <v>354</v>
      </c>
      <c r="N495" s="18">
        <v>1200</v>
      </c>
      <c r="O495" s="16" t="s">
        <v>422</v>
      </c>
      <c r="P495" s="30">
        <f>N495*300000</f>
        <v>360000000</v>
      </c>
      <c r="Q495" s="17" t="s">
        <v>1005</v>
      </c>
      <c r="R495" s="18">
        <v>3.1</v>
      </c>
      <c r="S495" s="16" t="s">
        <v>83</v>
      </c>
      <c r="T495" s="30">
        <f>R495*51000</f>
        <v>158100</v>
      </c>
      <c r="U495" s="16" t="s">
        <v>22</v>
      </c>
      <c r="V495" s="16" t="s">
        <v>50</v>
      </c>
      <c r="W495" s="16">
        <v>30</v>
      </c>
      <c r="X495" s="16" t="s">
        <v>51</v>
      </c>
      <c r="Y495" s="16">
        <v>80</v>
      </c>
      <c r="Z495" s="16">
        <v>20</v>
      </c>
      <c r="AA495" s="16">
        <v>0</v>
      </c>
      <c r="AB495" s="16">
        <v>0</v>
      </c>
      <c r="AC495" s="16" t="s">
        <v>1391</v>
      </c>
      <c r="AD495" s="25" t="s">
        <v>131</v>
      </c>
      <c r="AE495" s="23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</row>
    <row r="496" spans="1:84" s="2" customFormat="1" ht="20" x14ac:dyDescent="0.2">
      <c r="A496" s="17" t="s">
        <v>3921</v>
      </c>
      <c r="B496" s="17" t="s">
        <v>45</v>
      </c>
      <c r="C496" s="17">
        <v>2025</v>
      </c>
      <c r="D496" s="17" t="str">
        <f t="array" ref="D496">_xlfn.SWITCH(E496,"Bagor","35.18.14","Sukomoro",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96" s="16" t="s">
        <v>92</v>
      </c>
      <c r="F496" s="33" t="s">
        <v>1392</v>
      </c>
      <c r="G496" s="33" t="s">
        <v>1393</v>
      </c>
      <c r="H496" s="16" t="s">
        <v>81</v>
      </c>
      <c r="I496" s="16">
        <v>3</v>
      </c>
      <c r="J496" s="16">
        <v>0</v>
      </c>
      <c r="K496" s="16">
        <f t="shared" si="9"/>
        <v>3</v>
      </c>
      <c r="L496" s="18">
        <v>20000000</v>
      </c>
      <c r="M496" s="17" t="s">
        <v>444</v>
      </c>
      <c r="N496" s="18">
        <v>400000</v>
      </c>
      <c r="O496" s="16" t="s">
        <v>1116</v>
      </c>
      <c r="P496" s="30">
        <v>175000000</v>
      </c>
      <c r="Q496" s="17" t="s">
        <v>446</v>
      </c>
      <c r="R496" s="18">
        <v>4000</v>
      </c>
      <c r="S496" s="16" t="s">
        <v>447</v>
      </c>
      <c r="T496" s="30">
        <v>75835000</v>
      </c>
      <c r="U496" s="16" t="s">
        <v>22</v>
      </c>
      <c r="V496" s="16">
        <v>0</v>
      </c>
      <c r="W496" s="16">
        <v>0</v>
      </c>
      <c r="X496" s="16">
        <v>0</v>
      </c>
      <c r="Y496" s="16">
        <v>90</v>
      </c>
      <c r="Z496" s="16">
        <v>10</v>
      </c>
      <c r="AA496" s="16">
        <v>0</v>
      </c>
      <c r="AB496" s="16">
        <v>0</v>
      </c>
      <c r="AC496" s="16" t="s">
        <v>1394</v>
      </c>
      <c r="AD496" s="31" t="s">
        <v>1395</v>
      </c>
      <c r="AE496" s="23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</row>
    <row r="497" spans="1:84" s="2" customFormat="1" x14ac:dyDescent="0.2">
      <c r="A497" s="17" t="s">
        <v>3921</v>
      </c>
      <c r="B497" s="17" t="s">
        <v>45</v>
      </c>
      <c r="C497" s="17">
        <v>2025</v>
      </c>
      <c r="D497" s="17" t="str">
        <f t="array" ref="D497">_xlfn.SWITCH(E497,"Jatikalen","35.18.20","Kertosono", "35.18.08","Lengkong","35.18.19","Loceret","35.18.04","Tanjunganom","35.18.11","Wilangan","35.18.15")</f>
        <v>35.18.04</v>
      </c>
      <c r="E497" s="16" t="s">
        <v>41</v>
      </c>
      <c r="F497" s="33" t="s">
        <v>1396</v>
      </c>
      <c r="G497" s="33" t="s">
        <v>1397</v>
      </c>
      <c r="H497" s="16" t="s">
        <v>81</v>
      </c>
      <c r="I497" s="16">
        <v>12</v>
      </c>
      <c r="J497" s="16">
        <v>0</v>
      </c>
      <c r="K497" s="16">
        <f t="shared" si="9"/>
        <v>12</v>
      </c>
      <c r="L497" s="18"/>
      <c r="M497" s="17" t="s">
        <v>108</v>
      </c>
      <c r="N497" s="18">
        <v>140</v>
      </c>
      <c r="O497" s="16" t="s">
        <v>1398</v>
      </c>
      <c r="P497" s="30">
        <f>N497*10000000</f>
        <v>1400000000</v>
      </c>
      <c r="Q497" s="17" t="s">
        <v>57</v>
      </c>
      <c r="R497" s="18">
        <v>145</v>
      </c>
      <c r="S497" s="16" t="s">
        <v>51</v>
      </c>
      <c r="T497" s="30">
        <f>R497*5000000</f>
        <v>725000000</v>
      </c>
      <c r="U497" s="16" t="s">
        <v>22</v>
      </c>
      <c r="V497" s="16" t="s">
        <v>52</v>
      </c>
      <c r="W497" s="16">
        <v>1500</v>
      </c>
      <c r="X497" s="16" t="s">
        <v>53</v>
      </c>
      <c r="Y497" s="16">
        <v>65</v>
      </c>
      <c r="Z497" s="16">
        <v>35</v>
      </c>
      <c r="AA497" s="16">
        <v>0</v>
      </c>
      <c r="AB497" s="16">
        <v>0</v>
      </c>
      <c r="AC497" s="16" t="s">
        <v>1399</v>
      </c>
      <c r="AD497" s="25" t="s">
        <v>1400</v>
      </c>
      <c r="AE497" s="23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</row>
    <row r="498" spans="1:84" s="2" customFormat="1" x14ac:dyDescent="0.2">
      <c r="A498" s="17" t="s">
        <v>3921</v>
      </c>
      <c r="B498" s="17" t="s">
        <v>45</v>
      </c>
      <c r="C498" s="17">
        <v>2025</v>
      </c>
      <c r="D498" s="17" t="str">
        <f t="array" ref="D498">_xlfn.SWITCH(E498,"Bagor","35.18.14","Sukomoro",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98" s="16" t="s">
        <v>103</v>
      </c>
      <c r="F498" s="33" t="s">
        <v>1401</v>
      </c>
      <c r="G498" s="33" t="s">
        <v>1402</v>
      </c>
      <c r="H498" s="16" t="s">
        <v>81</v>
      </c>
      <c r="I498" s="16">
        <v>3</v>
      </c>
      <c r="J498" s="16">
        <v>2</v>
      </c>
      <c r="K498" s="16">
        <f t="shared" si="9"/>
        <v>5</v>
      </c>
      <c r="L498" s="18">
        <v>60000000</v>
      </c>
      <c r="M498" s="17" t="s">
        <v>971</v>
      </c>
      <c r="N498" s="18">
        <v>6000</v>
      </c>
      <c r="O498" s="16" t="s">
        <v>972</v>
      </c>
      <c r="P498" s="30">
        <v>117350000</v>
      </c>
      <c r="Q498" s="17" t="s">
        <v>481</v>
      </c>
      <c r="R498" s="18">
        <v>5000</v>
      </c>
      <c r="S498" s="16" t="s">
        <v>972</v>
      </c>
      <c r="T498" s="30">
        <v>53500000</v>
      </c>
      <c r="U498" s="16" t="s">
        <v>22</v>
      </c>
      <c r="V498" s="16" t="s">
        <v>52</v>
      </c>
      <c r="W498" s="53">
        <v>3200</v>
      </c>
      <c r="X498" s="16" t="s">
        <v>143</v>
      </c>
      <c r="Y498" s="16">
        <v>90</v>
      </c>
      <c r="Z498" s="16">
        <v>10</v>
      </c>
      <c r="AA498" s="16">
        <v>0</v>
      </c>
      <c r="AB498" s="16">
        <v>0</v>
      </c>
      <c r="AC498" s="16" t="s">
        <v>1403</v>
      </c>
      <c r="AD498" s="25" t="s">
        <v>927</v>
      </c>
      <c r="AE498" s="23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</row>
    <row r="499" spans="1:84" s="2" customFormat="1" x14ac:dyDescent="0.2">
      <c r="A499" s="17" t="s">
        <v>3921</v>
      </c>
      <c r="B499" s="17" t="s">
        <v>45</v>
      </c>
      <c r="C499" s="17">
        <v>2025</v>
      </c>
      <c r="D499" s="17" t="str">
        <f t="array" ref="D499">_xlfn.SWITCH(E499,"Bagor","35.18.14","Sukomoro",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499" s="16" t="s">
        <v>124</v>
      </c>
      <c r="F499" s="33" t="s">
        <v>1404</v>
      </c>
      <c r="G499" s="33" t="s">
        <v>1405</v>
      </c>
      <c r="H499" s="16" t="s">
        <v>47</v>
      </c>
      <c r="I499" s="16">
        <v>5</v>
      </c>
      <c r="J499" s="16">
        <v>0</v>
      </c>
      <c r="K499" s="16">
        <f t="shared" si="9"/>
        <v>5</v>
      </c>
      <c r="L499" s="18">
        <v>200000000</v>
      </c>
      <c r="M499" s="17" t="s">
        <v>108</v>
      </c>
      <c r="N499" s="18">
        <v>30</v>
      </c>
      <c r="O499" s="16" t="s">
        <v>51</v>
      </c>
      <c r="P499" s="30">
        <f>N499*15000000</f>
        <v>450000000</v>
      </c>
      <c r="Q499" s="17" t="s">
        <v>212</v>
      </c>
      <c r="R499" s="18">
        <v>35</v>
      </c>
      <c r="S499" s="16" t="s">
        <v>51</v>
      </c>
      <c r="T499" s="30">
        <v>240000000</v>
      </c>
      <c r="U499" s="16" t="s">
        <v>22</v>
      </c>
      <c r="V499" s="16" t="s">
        <v>52</v>
      </c>
      <c r="W499" s="16">
        <v>300</v>
      </c>
      <c r="X499" s="16" t="s">
        <v>53</v>
      </c>
      <c r="Y499" s="16">
        <v>75</v>
      </c>
      <c r="Z499" s="16">
        <v>25</v>
      </c>
      <c r="AA499" s="16">
        <v>0</v>
      </c>
      <c r="AB499" s="16">
        <v>0</v>
      </c>
      <c r="AC499" s="16" t="s">
        <v>1406</v>
      </c>
      <c r="AD499" s="25" t="s">
        <v>120</v>
      </c>
      <c r="AE499" s="23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</row>
    <row r="500" spans="1:84" s="2" customFormat="1" x14ac:dyDescent="0.2">
      <c r="A500" s="17" t="s">
        <v>3921</v>
      </c>
      <c r="B500" s="17" t="s">
        <v>45</v>
      </c>
      <c r="C500" s="17">
        <v>2025</v>
      </c>
      <c r="D500" s="17" t="str">
        <f t="array" ref="D500">_xlfn.SWITCH(E500,"Bagor","35.18.14","Sukomoro",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00" s="16" t="s">
        <v>124</v>
      </c>
      <c r="F500" s="33" t="s">
        <v>1407</v>
      </c>
      <c r="G500" s="33" t="s">
        <v>1408</v>
      </c>
      <c r="H500" s="16" t="s">
        <v>47</v>
      </c>
      <c r="I500" s="16">
        <v>6</v>
      </c>
      <c r="J500" s="16">
        <v>0</v>
      </c>
      <c r="K500" s="16">
        <f t="shared" si="9"/>
        <v>6</v>
      </c>
      <c r="L500" s="18">
        <v>200000000</v>
      </c>
      <c r="M500" s="17" t="s">
        <v>108</v>
      </c>
      <c r="N500" s="18">
        <v>30</v>
      </c>
      <c r="O500" s="16" t="s">
        <v>51</v>
      </c>
      <c r="P500" s="30">
        <f>N500*16000000</f>
        <v>480000000</v>
      </c>
      <c r="Q500" s="17" t="s">
        <v>212</v>
      </c>
      <c r="R500" s="18">
        <v>35</v>
      </c>
      <c r="S500" s="16" t="s">
        <v>51</v>
      </c>
      <c r="T500" s="30">
        <v>218525000</v>
      </c>
      <c r="U500" s="16" t="s">
        <v>22</v>
      </c>
      <c r="V500" s="16" t="s">
        <v>52</v>
      </c>
      <c r="W500" s="16">
        <v>300</v>
      </c>
      <c r="X500" s="16" t="s">
        <v>53</v>
      </c>
      <c r="Y500" s="16">
        <v>90</v>
      </c>
      <c r="Z500" s="16">
        <v>10</v>
      </c>
      <c r="AA500" s="16">
        <v>0</v>
      </c>
      <c r="AB500" s="16">
        <v>0</v>
      </c>
      <c r="AC500" s="16" t="s">
        <v>1409</v>
      </c>
      <c r="AD500" s="25" t="s">
        <v>120</v>
      </c>
      <c r="AE500" s="23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</row>
    <row r="501" spans="1:84" s="2" customFormat="1" ht="20" x14ac:dyDescent="0.2">
      <c r="A501" s="17" t="s">
        <v>3921</v>
      </c>
      <c r="B501" s="17" t="s">
        <v>45</v>
      </c>
      <c r="C501" s="17">
        <v>2025</v>
      </c>
      <c r="D501" s="17" t="str">
        <f t="array" ref="D501">_xlfn.SWITCH(E501,"Bagor","35.18.14","Sukomoro",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01" s="16" t="s">
        <v>157</v>
      </c>
      <c r="F501" s="33" t="s">
        <v>1410</v>
      </c>
      <c r="G501" s="33" t="s">
        <v>1411</v>
      </c>
      <c r="H501" s="16" t="s">
        <v>47</v>
      </c>
      <c r="I501" s="16">
        <v>0</v>
      </c>
      <c r="J501" s="16">
        <v>6</v>
      </c>
      <c r="K501" s="16">
        <f t="shared" si="9"/>
        <v>6</v>
      </c>
      <c r="L501" s="18">
        <v>30000000</v>
      </c>
      <c r="M501" s="17" t="s">
        <v>1412</v>
      </c>
      <c r="N501" s="18">
        <v>1432</v>
      </c>
      <c r="O501" s="16" t="s">
        <v>1130</v>
      </c>
      <c r="P501" s="30">
        <f>N501*1500</f>
        <v>2148000</v>
      </c>
      <c r="Q501" s="17" t="s">
        <v>1413</v>
      </c>
      <c r="R501" s="18">
        <v>1432</v>
      </c>
      <c r="S501" s="16" t="s">
        <v>1130</v>
      </c>
      <c r="T501" s="30">
        <f>R501*600</f>
        <v>859200</v>
      </c>
      <c r="U501" s="16" t="s">
        <v>22</v>
      </c>
      <c r="V501" s="16">
        <v>0</v>
      </c>
      <c r="W501" s="16">
        <v>0</v>
      </c>
      <c r="X501" s="16">
        <v>0</v>
      </c>
      <c r="Y501" s="16">
        <v>80</v>
      </c>
      <c r="Z501" s="16">
        <v>20</v>
      </c>
      <c r="AA501" s="16">
        <v>0</v>
      </c>
      <c r="AB501" s="16">
        <v>0</v>
      </c>
      <c r="AC501" s="16" t="s">
        <v>1414</v>
      </c>
      <c r="AD501" s="31" t="s">
        <v>1415</v>
      </c>
      <c r="AE501" s="23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</row>
    <row r="502" spans="1:84" s="2" customFormat="1" ht="20" x14ac:dyDescent="0.2">
      <c r="A502" s="17" t="s">
        <v>3921</v>
      </c>
      <c r="B502" s="17" t="s">
        <v>45</v>
      </c>
      <c r="C502" s="17">
        <v>2025</v>
      </c>
      <c r="D502" s="17" t="str">
        <f t="array" ref="D502">_xlfn.SWITCH(E502,"Bagor","35.18.14","Sukomoro",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02" s="16" t="s">
        <v>157</v>
      </c>
      <c r="F502" s="33" t="s">
        <v>1416</v>
      </c>
      <c r="G502" s="33" t="s">
        <v>1417</v>
      </c>
      <c r="H502" s="16" t="s">
        <v>47</v>
      </c>
      <c r="I502" s="16">
        <v>4</v>
      </c>
      <c r="J502" s="16">
        <v>0</v>
      </c>
      <c r="K502" s="16">
        <f t="shared" si="9"/>
        <v>4</v>
      </c>
      <c r="L502" s="18">
        <v>10000000</v>
      </c>
      <c r="M502" s="17" t="s">
        <v>1418</v>
      </c>
      <c r="N502" s="18">
        <v>50000</v>
      </c>
      <c r="O502" s="16" t="s">
        <v>1130</v>
      </c>
      <c r="P502" s="30">
        <f>N502*2000</f>
        <v>100000000</v>
      </c>
      <c r="Q502" s="17" t="s">
        <v>1419</v>
      </c>
      <c r="R502" s="18">
        <v>60000</v>
      </c>
      <c r="S502" s="16" t="s">
        <v>1420</v>
      </c>
      <c r="T502" s="30">
        <f>R502*500</f>
        <v>30000000</v>
      </c>
      <c r="U502" s="16" t="s">
        <v>22</v>
      </c>
      <c r="V502" s="16">
        <v>0</v>
      </c>
      <c r="W502" s="16">
        <v>0</v>
      </c>
      <c r="X502" s="16">
        <v>0</v>
      </c>
      <c r="Y502" s="16">
        <v>100</v>
      </c>
      <c r="Z502" s="16">
        <v>0</v>
      </c>
      <c r="AA502" s="16">
        <v>0</v>
      </c>
      <c r="AB502" s="16">
        <v>0</v>
      </c>
      <c r="AC502" s="16" t="s">
        <v>1421</v>
      </c>
      <c r="AD502" s="31" t="s">
        <v>1415</v>
      </c>
      <c r="AE502" s="23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</row>
    <row r="503" spans="1:84" s="2" customFormat="1" ht="20" x14ac:dyDescent="0.2">
      <c r="A503" s="17" t="s">
        <v>3921</v>
      </c>
      <c r="B503" s="17" t="s">
        <v>45</v>
      </c>
      <c r="C503" s="17">
        <v>2025</v>
      </c>
      <c r="D503" s="17" t="str">
        <f t="array" ref="D503">_xlfn.SWITCH(E503,"Bagor","35.18.14","Sukomoro",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03" s="16" t="s">
        <v>157</v>
      </c>
      <c r="F503" s="33" t="s">
        <v>1422</v>
      </c>
      <c r="G503" s="33" t="s">
        <v>1423</v>
      </c>
      <c r="H503" s="16" t="s">
        <v>47</v>
      </c>
      <c r="I503" s="16">
        <v>0</v>
      </c>
      <c r="J503" s="16">
        <v>5</v>
      </c>
      <c r="K503" s="16">
        <f t="shared" si="9"/>
        <v>5</v>
      </c>
      <c r="L503" s="18">
        <v>5000000</v>
      </c>
      <c r="M503" s="17" t="s">
        <v>1424</v>
      </c>
      <c r="N503" s="18">
        <v>30000</v>
      </c>
      <c r="O503" s="16" t="s">
        <v>1130</v>
      </c>
      <c r="P503" s="30">
        <f>N503*1000</f>
        <v>30000000</v>
      </c>
      <c r="Q503" s="17" t="s">
        <v>1425</v>
      </c>
      <c r="R503" s="18">
        <v>30000</v>
      </c>
      <c r="S503" s="16" t="s">
        <v>1130</v>
      </c>
      <c r="T503" s="30">
        <f>R503*550</f>
        <v>16500000</v>
      </c>
      <c r="U503" s="16" t="s">
        <v>22</v>
      </c>
      <c r="V503" s="16">
        <v>0</v>
      </c>
      <c r="W503" s="16">
        <v>0</v>
      </c>
      <c r="X503" s="16">
        <v>0</v>
      </c>
      <c r="Y503" s="16">
        <v>100</v>
      </c>
      <c r="Z503" s="16">
        <v>0</v>
      </c>
      <c r="AA503" s="16">
        <v>0</v>
      </c>
      <c r="AB503" s="16">
        <v>0</v>
      </c>
      <c r="AC503" s="16" t="s">
        <v>1426</v>
      </c>
      <c r="AD503" s="31" t="s">
        <v>1415</v>
      </c>
      <c r="AE503" s="23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</row>
    <row r="504" spans="1:84" s="2" customFormat="1" ht="20" x14ac:dyDescent="0.2">
      <c r="A504" s="17" t="s">
        <v>3921</v>
      </c>
      <c r="B504" s="17" t="s">
        <v>45</v>
      </c>
      <c r="C504" s="17">
        <v>2025</v>
      </c>
      <c r="D504" s="17" t="str">
        <f t="array" ref="D504">_xlfn.SWITCH(E504,"Bagor","35.18.14","Sukomoro",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04" s="16" t="s">
        <v>157</v>
      </c>
      <c r="F504" s="33" t="s">
        <v>1427</v>
      </c>
      <c r="G504" s="33" t="s">
        <v>1428</v>
      </c>
      <c r="H504" s="16" t="s">
        <v>31</v>
      </c>
      <c r="I504" s="16">
        <v>4</v>
      </c>
      <c r="J504" s="16">
        <v>18</v>
      </c>
      <c r="K504" s="16">
        <f t="shared" si="9"/>
        <v>22</v>
      </c>
      <c r="L504" s="18">
        <v>100000000</v>
      </c>
      <c r="M504" s="17" t="s">
        <v>1429</v>
      </c>
      <c r="N504" s="18">
        <v>540000000</v>
      </c>
      <c r="O504" s="16" t="s">
        <v>1130</v>
      </c>
      <c r="P504" s="30">
        <v>648000000</v>
      </c>
      <c r="Q504" s="17" t="s">
        <v>159</v>
      </c>
      <c r="R504" s="18">
        <v>20</v>
      </c>
      <c r="S504" s="16" t="s">
        <v>962</v>
      </c>
      <c r="T504" s="30">
        <v>316245500</v>
      </c>
      <c r="U504" s="16" t="s">
        <v>22</v>
      </c>
      <c r="V504" s="16">
        <v>0</v>
      </c>
      <c r="W504" s="16">
        <v>0</v>
      </c>
      <c r="X504" s="16">
        <v>0</v>
      </c>
      <c r="Y504" s="16">
        <v>70</v>
      </c>
      <c r="Z504" s="16">
        <v>30</v>
      </c>
      <c r="AA504" s="16">
        <v>0</v>
      </c>
      <c r="AB504" s="16">
        <v>0</v>
      </c>
      <c r="AC504" s="16" t="s">
        <v>1430</v>
      </c>
      <c r="AD504" s="31" t="s">
        <v>1415</v>
      </c>
      <c r="AE504" s="23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</row>
    <row r="505" spans="1:84" s="2" customFormat="1" x14ac:dyDescent="0.2">
      <c r="A505" s="17" t="s">
        <v>3921</v>
      </c>
      <c r="B505" s="17" t="s">
        <v>45</v>
      </c>
      <c r="C505" s="17">
        <v>2025</v>
      </c>
      <c r="D505" s="17" t="str">
        <f t="array" ref="D505">_xlfn.SWITCH(E505,"Jatikalen","35.18.20","Kertosono", "35.18.08","Lengkong","35.18.19","Loceret","35.18.04","Tanjunganom","35.18.11","Wilangan","35.18.15")</f>
        <v>35.18.04</v>
      </c>
      <c r="E505" s="16" t="s">
        <v>1432</v>
      </c>
      <c r="F505" s="33" t="s">
        <v>1431</v>
      </c>
      <c r="G505" s="33" t="s">
        <v>1433</v>
      </c>
      <c r="H505" s="16" t="s">
        <v>47</v>
      </c>
      <c r="I505" s="16">
        <v>10</v>
      </c>
      <c r="J505" s="16">
        <v>2</v>
      </c>
      <c r="K505" s="16">
        <f t="shared" si="9"/>
        <v>12</v>
      </c>
      <c r="L505" s="18">
        <v>125000000</v>
      </c>
      <c r="M505" s="17" t="s">
        <v>108</v>
      </c>
      <c r="N505" s="18">
        <v>2000</v>
      </c>
      <c r="O505" s="16" t="s">
        <v>51</v>
      </c>
      <c r="P505" s="30">
        <f>N505*9000000</f>
        <v>18000000000</v>
      </c>
      <c r="Q505" s="17" t="s">
        <v>212</v>
      </c>
      <c r="R505" s="18">
        <v>2100</v>
      </c>
      <c r="S505" s="16" t="s">
        <v>51</v>
      </c>
      <c r="T505" s="30">
        <f>R505*4500000</f>
        <v>9450000000</v>
      </c>
      <c r="U505" s="16" t="s">
        <v>22</v>
      </c>
      <c r="V505" s="16" t="s">
        <v>52</v>
      </c>
      <c r="W505" s="16">
        <v>4000</v>
      </c>
      <c r="X505" s="16" t="s">
        <v>53</v>
      </c>
      <c r="Y505" s="16">
        <v>60</v>
      </c>
      <c r="Z505" s="16">
        <v>40</v>
      </c>
      <c r="AA505" s="16">
        <v>0</v>
      </c>
      <c r="AB505" s="16">
        <v>0</v>
      </c>
      <c r="AC505" s="16" t="s">
        <v>1434</v>
      </c>
      <c r="AD505" s="31" t="s">
        <v>202</v>
      </c>
      <c r="AE505" s="23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</row>
    <row r="506" spans="1:84" s="2" customFormat="1" ht="20" x14ac:dyDescent="0.2">
      <c r="A506" s="17" t="s">
        <v>3921</v>
      </c>
      <c r="B506" s="17" t="s">
        <v>45</v>
      </c>
      <c r="C506" s="17">
        <v>2025</v>
      </c>
      <c r="D506" s="17" t="str">
        <f t="array" ref="D506">_xlfn.SWITCH(E506,"Bagor","35.18.14","Sukomoro",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06" s="16" t="s">
        <v>114</v>
      </c>
      <c r="F506" s="33" t="s">
        <v>1435</v>
      </c>
      <c r="G506" s="33" t="s">
        <v>1436</v>
      </c>
      <c r="H506" s="16" t="s">
        <v>47</v>
      </c>
      <c r="I506" s="16">
        <v>8</v>
      </c>
      <c r="J506" s="16">
        <v>0</v>
      </c>
      <c r="K506" s="16">
        <f t="shared" si="9"/>
        <v>8</v>
      </c>
      <c r="L506" s="18">
        <v>35000000</v>
      </c>
      <c r="M506" s="17" t="s">
        <v>108</v>
      </c>
      <c r="N506" s="18">
        <v>20</v>
      </c>
      <c r="O506" s="16" t="s">
        <v>51</v>
      </c>
      <c r="P506" s="30">
        <f>N506*10000000</f>
        <v>200000000</v>
      </c>
      <c r="Q506" s="17" t="s">
        <v>57</v>
      </c>
      <c r="R506" s="18">
        <v>26</v>
      </c>
      <c r="S506" s="16" t="s">
        <v>51</v>
      </c>
      <c r="T506" s="30">
        <f>R506*4050000</f>
        <v>105300000</v>
      </c>
      <c r="U506" s="16" t="s">
        <v>22</v>
      </c>
      <c r="V506" s="16" t="s">
        <v>52</v>
      </c>
      <c r="W506" s="16">
        <v>250</v>
      </c>
      <c r="X506" s="16" t="s">
        <v>53</v>
      </c>
      <c r="Y506" s="16">
        <v>90</v>
      </c>
      <c r="Z506" s="16">
        <v>10</v>
      </c>
      <c r="AA506" s="16">
        <v>0</v>
      </c>
      <c r="AB506" s="16">
        <v>0</v>
      </c>
      <c r="AC506" s="16" t="s">
        <v>1437</v>
      </c>
      <c r="AD506" s="31" t="s">
        <v>1438</v>
      </c>
      <c r="AE506" s="23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</row>
    <row r="507" spans="1:84" s="2" customFormat="1" ht="20" x14ac:dyDescent="0.2">
      <c r="A507" s="17" t="s">
        <v>3921</v>
      </c>
      <c r="B507" s="17" t="s">
        <v>45</v>
      </c>
      <c r="C507" s="17">
        <v>2025</v>
      </c>
      <c r="D507" s="17" t="str">
        <f t="array" ref="D507">_xlfn.SWITCH(E507,"Jatikalen","35.18.20","Kertosono", "35.18.08","Lengkong","35.18.19","Loceret","35.18.04","Tanjunganom","35.18.11","Wilangan","35.18.15")</f>
        <v>35.18.04</v>
      </c>
      <c r="E507" s="16" t="s">
        <v>41</v>
      </c>
      <c r="F507" s="33" t="s">
        <v>1439</v>
      </c>
      <c r="G507" s="33" t="s">
        <v>1440</v>
      </c>
      <c r="H507" s="16" t="s">
        <v>47</v>
      </c>
      <c r="I507" s="16">
        <v>10</v>
      </c>
      <c r="J507" s="16">
        <v>4</v>
      </c>
      <c r="K507" s="16">
        <f t="shared" si="9"/>
        <v>14</v>
      </c>
      <c r="L507" s="18">
        <v>40000000</v>
      </c>
      <c r="M507" s="17" t="s">
        <v>1441</v>
      </c>
      <c r="N507" s="18">
        <v>100</v>
      </c>
      <c r="O507" s="16" t="s">
        <v>962</v>
      </c>
      <c r="P507" s="30">
        <v>185000000</v>
      </c>
      <c r="Q507" s="17" t="s">
        <v>1442</v>
      </c>
      <c r="R507" s="18">
        <v>100</v>
      </c>
      <c r="S507" s="16" t="s">
        <v>962</v>
      </c>
      <c r="T507" s="30">
        <v>82000200</v>
      </c>
      <c r="U507" s="16" t="s">
        <v>22</v>
      </c>
      <c r="V507" s="16">
        <v>0</v>
      </c>
      <c r="W507" s="16">
        <v>0</v>
      </c>
      <c r="X507" s="16">
        <v>0</v>
      </c>
      <c r="Y507" s="16">
        <v>100</v>
      </c>
      <c r="Z507" s="16">
        <v>0</v>
      </c>
      <c r="AA507" s="16">
        <v>0</v>
      </c>
      <c r="AB507" s="16">
        <v>0</v>
      </c>
      <c r="AC507" s="16" t="s">
        <v>1443</v>
      </c>
      <c r="AD507" s="31" t="s">
        <v>1444</v>
      </c>
      <c r="AE507" s="23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</row>
    <row r="508" spans="1:84" s="2" customFormat="1" ht="20" x14ac:dyDescent="0.2">
      <c r="A508" s="17" t="s">
        <v>3921</v>
      </c>
      <c r="B508" s="17" t="s">
        <v>45</v>
      </c>
      <c r="C508" s="17">
        <v>2025</v>
      </c>
      <c r="D508" s="17" t="str">
        <f t="array" ref="D508">_xlfn.SWITCH(E508,"Jatikalen","35.18.20","Kertosono", "35.18.08","Lengkong","35.18.19","Loceret","35.18.04","Tanjunganom","35.18.11","Wilangan","35.18.15")</f>
        <v>35.18.04</v>
      </c>
      <c r="E508" s="16" t="s">
        <v>41</v>
      </c>
      <c r="F508" s="33" t="s">
        <v>1445</v>
      </c>
      <c r="G508" s="33" t="s">
        <v>1446</v>
      </c>
      <c r="H508" s="16" t="s">
        <v>31</v>
      </c>
      <c r="I508" s="16">
        <v>4</v>
      </c>
      <c r="J508" s="16">
        <v>2</v>
      </c>
      <c r="K508" s="16">
        <f t="shared" si="9"/>
        <v>6</v>
      </c>
      <c r="L508" s="18">
        <v>25000000</v>
      </c>
      <c r="M508" s="17" t="s">
        <v>444</v>
      </c>
      <c r="N508" s="18">
        <v>500</v>
      </c>
      <c r="O508" s="16" t="s">
        <v>1447</v>
      </c>
      <c r="P508" s="30">
        <f>N508*405000</f>
        <v>202500000</v>
      </c>
      <c r="Q508" s="17" t="s">
        <v>446</v>
      </c>
      <c r="R508" s="18">
        <v>600</v>
      </c>
      <c r="S508" s="16" t="s">
        <v>447</v>
      </c>
      <c r="T508" s="30">
        <v>100250000</v>
      </c>
      <c r="U508" s="16" t="s">
        <v>22</v>
      </c>
      <c r="V508" s="16">
        <v>0</v>
      </c>
      <c r="W508" s="16">
        <v>0</v>
      </c>
      <c r="X508" s="16">
        <v>0</v>
      </c>
      <c r="Y508" s="16">
        <v>90</v>
      </c>
      <c r="Z508" s="16">
        <v>10</v>
      </c>
      <c r="AA508" s="16">
        <v>0</v>
      </c>
      <c r="AB508" s="16">
        <v>0</v>
      </c>
      <c r="AC508" s="16" t="s">
        <v>1448</v>
      </c>
      <c r="AD508" s="31" t="s">
        <v>1449</v>
      </c>
      <c r="AE508" s="23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</row>
    <row r="509" spans="1:84" s="2" customFormat="1" ht="20" x14ac:dyDescent="0.2">
      <c r="A509" s="17" t="s">
        <v>3921</v>
      </c>
      <c r="B509" s="17" t="s">
        <v>45</v>
      </c>
      <c r="C509" s="17">
        <v>2025</v>
      </c>
      <c r="D509" s="17" t="str">
        <f t="array" ref="D509">_xlfn.SWITCH(E509,"Bagor","35.18.14","Sukomoro",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09" s="16" t="s">
        <v>140</v>
      </c>
      <c r="F509" s="33" t="s">
        <v>1450</v>
      </c>
      <c r="G509" s="33" t="s">
        <v>1451</v>
      </c>
      <c r="H509" s="16" t="s">
        <v>47</v>
      </c>
      <c r="I509" s="16">
        <v>2</v>
      </c>
      <c r="J509" s="16">
        <v>0</v>
      </c>
      <c r="K509" s="16">
        <f t="shared" si="9"/>
        <v>2</v>
      </c>
      <c r="L509" s="18">
        <v>10000000</v>
      </c>
      <c r="M509" s="17" t="s">
        <v>108</v>
      </c>
      <c r="N509" s="18">
        <v>100</v>
      </c>
      <c r="O509" s="16" t="s">
        <v>51</v>
      </c>
      <c r="P509" s="30">
        <f>N509*11500000</f>
        <v>1150000000</v>
      </c>
      <c r="Q509" s="17" t="s">
        <v>57</v>
      </c>
      <c r="R509" s="18">
        <v>110</v>
      </c>
      <c r="S509" s="16" t="s">
        <v>51</v>
      </c>
      <c r="T509" s="30">
        <f>R509*4500000</f>
        <v>495000000</v>
      </c>
      <c r="U509" s="16" t="s">
        <v>22</v>
      </c>
      <c r="V509" s="16" t="s">
        <v>52</v>
      </c>
      <c r="W509" s="16">
        <v>1000</v>
      </c>
      <c r="X509" s="16" t="s">
        <v>53</v>
      </c>
      <c r="Y509" s="16">
        <v>60</v>
      </c>
      <c r="Z509" s="16">
        <v>40</v>
      </c>
      <c r="AA509" s="16">
        <v>0</v>
      </c>
      <c r="AB509" s="16">
        <v>0</v>
      </c>
      <c r="AC509" s="16" t="s">
        <v>1452</v>
      </c>
      <c r="AD509" s="31" t="s">
        <v>1449</v>
      </c>
      <c r="AE509" s="23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</row>
    <row r="510" spans="1:84" s="2" customFormat="1" x14ac:dyDescent="0.2">
      <c r="A510" s="17" t="s">
        <v>3921</v>
      </c>
      <c r="B510" s="17" t="s">
        <v>45</v>
      </c>
      <c r="C510" s="17">
        <v>2025</v>
      </c>
      <c r="D510" s="17" t="str">
        <f t="array" ref="D510">_xlfn.SWITCH(E510,"Bagor","35.18.14","Sukomoro",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10" s="16" t="s">
        <v>29</v>
      </c>
      <c r="F510" s="33" t="s">
        <v>1453</v>
      </c>
      <c r="G510" s="33" t="s">
        <v>1454</v>
      </c>
      <c r="H510" s="16" t="s">
        <v>47</v>
      </c>
      <c r="I510" s="16">
        <v>2</v>
      </c>
      <c r="J510" s="16">
        <v>0</v>
      </c>
      <c r="K510" s="16">
        <f t="shared" si="9"/>
        <v>2</v>
      </c>
      <c r="L510" s="18">
        <v>30000000</v>
      </c>
      <c r="M510" s="17" t="s">
        <v>108</v>
      </c>
      <c r="N510" s="18">
        <v>30</v>
      </c>
      <c r="O510" s="16" t="s">
        <v>51</v>
      </c>
      <c r="P510" s="30">
        <f>N510*10300000</f>
        <v>309000000</v>
      </c>
      <c r="Q510" s="17" t="s">
        <v>57</v>
      </c>
      <c r="R510" s="18">
        <v>35</v>
      </c>
      <c r="S510" s="16" t="s">
        <v>51</v>
      </c>
      <c r="T510" s="30">
        <f>R510*4250000</f>
        <v>148750000</v>
      </c>
      <c r="U510" s="16" t="s">
        <v>22</v>
      </c>
      <c r="V510" s="16" t="s">
        <v>52</v>
      </c>
      <c r="W510" s="16">
        <v>350</v>
      </c>
      <c r="X510" s="16" t="s">
        <v>53</v>
      </c>
      <c r="Y510" s="16">
        <v>80</v>
      </c>
      <c r="Z510" s="16">
        <v>20</v>
      </c>
      <c r="AA510" s="16">
        <v>0</v>
      </c>
      <c r="AB510" s="16">
        <v>0</v>
      </c>
      <c r="AC510" s="16" t="s">
        <v>1455</v>
      </c>
      <c r="AD510" s="31" t="s">
        <v>1456</v>
      </c>
      <c r="AE510" s="23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</row>
    <row r="511" spans="1:84" s="2" customFormat="1" x14ac:dyDescent="0.2">
      <c r="A511" s="17" t="s">
        <v>3921</v>
      </c>
      <c r="B511" s="17" t="s">
        <v>45</v>
      </c>
      <c r="C511" s="17">
        <v>2025</v>
      </c>
      <c r="D511" s="17" t="str">
        <f t="array" ref="D511">_xlfn.SWITCH(E511,"Bagor","35.18.14","Sukomoro",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511" s="16" t="s">
        <v>785</v>
      </c>
      <c r="F511" s="33" t="s">
        <v>1457</v>
      </c>
      <c r="G511" s="33" t="s">
        <v>1458</v>
      </c>
      <c r="H511" s="16" t="s">
        <v>47</v>
      </c>
      <c r="I511" s="16">
        <v>8</v>
      </c>
      <c r="J511" s="16">
        <v>0</v>
      </c>
      <c r="K511" s="16">
        <f t="shared" si="9"/>
        <v>8</v>
      </c>
      <c r="L511" s="18">
        <v>40000000</v>
      </c>
      <c r="M511" s="17" t="s">
        <v>108</v>
      </c>
      <c r="N511" s="18">
        <v>100</v>
      </c>
      <c r="O511" s="16" t="s">
        <v>1459</v>
      </c>
      <c r="P511" s="30">
        <f>N511*10100000</f>
        <v>1010000000</v>
      </c>
      <c r="Q511" s="17" t="s">
        <v>57</v>
      </c>
      <c r="R511" s="18">
        <v>120</v>
      </c>
      <c r="S511" s="16" t="s">
        <v>51</v>
      </c>
      <c r="T511" s="30">
        <f>R511*4000000</f>
        <v>480000000</v>
      </c>
      <c r="U511" s="16" t="s">
        <v>22</v>
      </c>
      <c r="V511" s="16" t="s">
        <v>52</v>
      </c>
      <c r="W511" s="16">
        <v>1050</v>
      </c>
      <c r="X511" s="16" t="s">
        <v>53</v>
      </c>
      <c r="Y511" s="16">
        <v>70</v>
      </c>
      <c r="Z511" s="16">
        <v>30</v>
      </c>
      <c r="AA511" s="16">
        <v>0</v>
      </c>
      <c r="AB511" s="16">
        <v>0</v>
      </c>
      <c r="AC511" s="16" t="s">
        <v>1460</v>
      </c>
      <c r="AD511" s="31" t="s">
        <v>1461</v>
      </c>
      <c r="AE511" s="23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</row>
    <row r="512" spans="1:84" s="2" customFormat="1" x14ac:dyDescent="0.2">
      <c r="A512" s="17" t="s">
        <v>3921</v>
      </c>
      <c r="B512" s="17" t="s">
        <v>45</v>
      </c>
      <c r="C512" s="17">
        <v>2025</v>
      </c>
      <c r="D512" s="17" t="str">
        <f t="array" ref="D512">_xlfn.SWITCH(E512,"Bagor","35.18.14","Sukomoro",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12" s="16" t="s">
        <v>29</v>
      </c>
      <c r="F512" s="33" t="s">
        <v>1462</v>
      </c>
      <c r="G512" s="33" t="s">
        <v>1463</v>
      </c>
      <c r="H512" s="16" t="s">
        <v>47</v>
      </c>
      <c r="I512" s="16">
        <v>6</v>
      </c>
      <c r="J512" s="16">
        <v>0</v>
      </c>
      <c r="K512" s="16">
        <f t="shared" si="9"/>
        <v>6</v>
      </c>
      <c r="L512" s="18">
        <v>40000000</v>
      </c>
      <c r="M512" s="17" t="s">
        <v>108</v>
      </c>
      <c r="N512" s="18">
        <v>30</v>
      </c>
      <c r="O512" s="16" t="s">
        <v>69</v>
      </c>
      <c r="P512" s="30">
        <f>N512*10500000</f>
        <v>315000000</v>
      </c>
      <c r="Q512" s="17" t="s">
        <v>50</v>
      </c>
      <c r="R512" s="18">
        <v>35</v>
      </c>
      <c r="S512" s="16" t="s">
        <v>51</v>
      </c>
      <c r="T512" s="30">
        <f>R512*4350000</f>
        <v>152250000</v>
      </c>
      <c r="U512" s="16" t="s">
        <v>22</v>
      </c>
      <c r="V512" s="16" t="s">
        <v>52</v>
      </c>
      <c r="W512" s="16">
        <v>350</v>
      </c>
      <c r="X512" s="16" t="s">
        <v>53</v>
      </c>
      <c r="Y512" s="16">
        <v>90</v>
      </c>
      <c r="Z512" s="16">
        <v>10</v>
      </c>
      <c r="AA512" s="16">
        <v>0</v>
      </c>
      <c r="AB512" s="16">
        <v>0</v>
      </c>
      <c r="AC512" s="16" t="s">
        <v>1464</v>
      </c>
      <c r="AD512" s="25" t="s">
        <v>1465</v>
      </c>
      <c r="AE512" s="23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</row>
    <row r="513" spans="1:84" s="2" customFormat="1" x14ac:dyDescent="0.2">
      <c r="A513" s="17" t="s">
        <v>3921</v>
      </c>
      <c r="B513" s="17" t="s">
        <v>45</v>
      </c>
      <c r="C513" s="17">
        <v>2025</v>
      </c>
      <c r="D513" s="17" t="str">
        <f t="array" ref="D513">_xlfn.SWITCH(E513,"Jatikalen","35.18.20","Kertosono", "35.18.08","Lengkong","35.18.19","Loceret","35.18.04","Tanjunganom","35.18.11","Wilangan","35.18.15")</f>
        <v>35.18.08</v>
      </c>
      <c r="E513" s="16" t="s">
        <v>128</v>
      </c>
      <c r="F513" s="33" t="s">
        <v>1466</v>
      </c>
      <c r="G513" s="33" t="s">
        <v>1467</v>
      </c>
      <c r="H513" s="16" t="s">
        <v>31</v>
      </c>
      <c r="I513" s="16">
        <v>3</v>
      </c>
      <c r="J513" s="16">
        <v>1</v>
      </c>
      <c r="K513" s="16">
        <f t="shared" si="9"/>
        <v>4</v>
      </c>
      <c r="L513" s="18">
        <v>50000000</v>
      </c>
      <c r="M513" s="17" t="s">
        <v>1073</v>
      </c>
      <c r="N513" s="18">
        <v>3000</v>
      </c>
      <c r="O513" s="16" t="s">
        <v>1194</v>
      </c>
      <c r="P513" s="30">
        <v>100000000</v>
      </c>
      <c r="Q513" s="17" t="s">
        <v>1468</v>
      </c>
      <c r="R513" s="18">
        <v>1500</v>
      </c>
      <c r="S513" s="16" t="s">
        <v>1368</v>
      </c>
      <c r="T513" s="30">
        <f>R513*30000</f>
        <v>45000000</v>
      </c>
      <c r="U513" s="16" t="s">
        <v>22</v>
      </c>
      <c r="V513" s="16">
        <v>0</v>
      </c>
      <c r="W513" s="16">
        <v>0</v>
      </c>
      <c r="X513" s="16">
        <v>0</v>
      </c>
      <c r="Y513" s="16">
        <v>100</v>
      </c>
      <c r="Z513" s="16">
        <v>0</v>
      </c>
      <c r="AA513" s="16">
        <v>0</v>
      </c>
      <c r="AB513" s="16">
        <v>0</v>
      </c>
      <c r="AC513" s="16" t="s">
        <v>1469</v>
      </c>
      <c r="AD513" s="25" t="s">
        <v>1470</v>
      </c>
      <c r="AE513" s="23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</row>
    <row r="514" spans="1:84" s="2" customFormat="1" x14ac:dyDescent="0.2">
      <c r="A514" s="17" t="s">
        <v>3921</v>
      </c>
      <c r="B514" s="17" t="s">
        <v>45</v>
      </c>
      <c r="C514" s="17">
        <v>2025</v>
      </c>
      <c r="D514" s="17" t="str">
        <f t="array" ref="D514">_xlfn.SWITCH(E514,"Bagor","35.18.14","Sukomoro",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514" s="16" t="s">
        <v>162</v>
      </c>
      <c r="F514" s="33" t="s">
        <v>1471</v>
      </c>
      <c r="G514" s="33" t="s">
        <v>1472</v>
      </c>
      <c r="H514" s="16" t="s">
        <v>31</v>
      </c>
      <c r="I514" s="16">
        <v>20</v>
      </c>
      <c r="J514" s="16">
        <v>10</v>
      </c>
      <c r="K514" s="16">
        <f t="shared" ref="K514:K577" si="10">I514+J514</f>
        <v>30</v>
      </c>
      <c r="L514" s="65">
        <v>200000000</v>
      </c>
      <c r="M514" s="17" t="s">
        <v>1473</v>
      </c>
      <c r="N514" s="65">
        <v>200</v>
      </c>
      <c r="O514" s="66" t="s">
        <v>1474</v>
      </c>
      <c r="P514" s="30">
        <v>840000000</v>
      </c>
      <c r="Q514" s="17" t="s">
        <v>1475</v>
      </c>
      <c r="R514" s="67">
        <v>2000</v>
      </c>
      <c r="S514" s="16" t="s">
        <v>1368</v>
      </c>
      <c r="T514" s="30">
        <v>300000000</v>
      </c>
      <c r="U514" s="16" t="s">
        <v>22</v>
      </c>
      <c r="V514" s="16">
        <v>0</v>
      </c>
      <c r="W514" s="16">
        <v>0</v>
      </c>
      <c r="X514" s="16">
        <v>0</v>
      </c>
      <c r="Y514" s="16">
        <v>30</v>
      </c>
      <c r="Z514" s="16">
        <v>50</v>
      </c>
      <c r="AA514" s="16">
        <v>20</v>
      </c>
      <c r="AB514" s="16">
        <v>0</v>
      </c>
      <c r="AC514" s="16"/>
      <c r="AD514" s="68"/>
      <c r="AE514" s="23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</row>
    <row r="515" spans="1:84" s="2" customFormat="1" x14ac:dyDescent="0.2">
      <c r="A515" s="17" t="s">
        <v>3921</v>
      </c>
      <c r="B515" s="17" t="s">
        <v>45</v>
      </c>
      <c r="C515" s="17">
        <v>2025</v>
      </c>
      <c r="D515" s="17" t="str">
        <f t="array" ref="D515">_xlfn.SWITCH(E515,"Bagor","35.18.14","Sukomoro",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15" s="16" t="s">
        <v>92</v>
      </c>
      <c r="F515" s="33" t="s">
        <v>1476</v>
      </c>
      <c r="G515" s="33" t="s">
        <v>1477</v>
      </c>
      <c r="H515" s="16" t="s">
        <v>31</v>
      </c>
      <c r="I515" s="16">
        <v>3</v>
      </c>
      <c r="J515" s="16">
        <v>1</v>
      </c>
      <c r="K515" s="16">
        <f t="shared" si="10"/>
        <v>4</v>
      </c>
      <c r="L515" s="65">
        <v>44750000</v>
      </c>
      <c r="M515" s="17" t="s">
        <v>1478</v>
      </c>
      <c r="N515" s="65">
        <v>7200</v>
      </c>
      <c r="O515" s="66" t="s">
        <v>422</v>
      </c>
      <c r="P515" s="30">
        <v>126000000</v>
      </c>
      <c r="Q515" s="17" t="s">
        <v>1479</v>
      </c>
      <c r="R515" s="67">
        <v>19800</v>
      </c>
      <c r="S515" s="16" t="s">
        <v>35</v>
      </c>
      <c r="T515" s="30">
        <v>36750000</v>
      </c>
      <c r="U515" s="16" t="s">
        <v>22</v>
      </c>
      <c r="V515" s="16">
        <v>0</v>
      </c>
      <c r="W515" s="16">
        <v>0</v>
      </c>
      <c r="X515" s="16">
        <v>0</v>
      </c>
      <c r="Y515" s="16">
        <v>50</v>
      </c>
      <c r="Z515" s="16">
        <v>50</v>
      </c>
      <c r="AA515" s="16">
        <v>0</v>
      </c>
      <c r="AB515" s="16">
        <v>0</v>
      </c>
      <c r="AC515" s="16"/>
      <c r="AD515" s="68"/>
      <c r="AE515" s="23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</row>
    <row r="516" spans="1:84" s="2" customFormat="1" x14ac:dyDescent="0.2">
      <c r="A516" s="17" t="s">
        <v>3921</v>
      </c>
      <c r="B516" s="17" t="s">
        <v>45</v>
      </c>
      <c r="C516" s="17">
        <v>2025</v>
      </c>
      <c r="D516" s="17" t="str">
        <f t="array" ref="D516">_xlfn.SWITCH(E516,"Jatikalen","35.18.20","Kertosono", "35.18.08","Lengkong","35.18.19","Loceret","35.18.04","Tanjunganom","35.18.11","Wilangan","35.18.15")</f>
        <v>35.18.04</v>
      </c>
      <c r="E516" s="16" t="s">
        <v>41</v>
      </c>
      <c r="F516" s="33" t="s">
        <v>1480</v>
      </c>
      <c r="G516" s="33" t="s">
        <v>1481</v>
      </c>
      <c r="H516" s="16" t="s">
        <v>31</v>
      </c>
      <c r="I516" s="16">
        <v>10</v>
      </c>
      <c r="J516" s="16">
        <v>10</v>
      </c>
      <c r="K516" s="16">
        <f t="shared" si="10"/>
        <v>20</v>
      </c>
      <c r="L516" s="65">
        <v>800000000</v>
      </c>
      <c r="M516" s="17" t="s">
        <v>258</v>
      </c>
      <c r="N516" s="65">
        <v>50000</v>
      </c>
      <c r="O516" s="66" t="s">
        <v>835</v>
      </c>
      <c r="P516" s="30">
        <v>1732500000</v>
      </c>
      <c r="Q516" s="17" t="s">
        <v>1482</v>
      </c>
      <c r="R516" s="67">
        <v>10000000</v>
      </c>
      <c r="S516" s="16" t="s">
        <v>261</v>
      </c>
      <c r="T516" s="30">
        <v>700000000</v>
      </c>
      <c r="U516" s="16" t="s">
        <v>22</v>
      </c>
      <c r="V516" s="16">
        <v>0</v>
      </c>
      <c r="W516" s="16">
        <v>0</v>
      </c>
      <c r="X516" s="16">
        <v>0</v>
      </c>
      <c r="Y516" s="16">
        <v>90</v>
      </c>
      <c r="Z516" s="16">
        <v>10</v>
      </c>
      <c r="AA516" s="16">
        <v>0</v>
      </c>
      <c r="AB516" s="16">
        <v>0</v>
      </c>
      <c r="AC516" s="16"/>
      <c r="AD516" s="68"/>
      <c r="AE516" s="23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</row>
    <row r="517" spans="1:84" s="2" customFormat="1" ht="20" x14ac:dyDescent="0.2">
      <c r="A517" s="17" t="s">
        <v>3921</v>
      </c>
      <c r="B517" s="17" t="s">
        <v>45</v>
      </c>
      <c r="C517" s="17">
        <v>2025</v>
      </c>
      <c r="D517" s="17" t="str">
        <f t="array" ref="D517">_xlfn.SWITCH(E517,"Bagor","35.18.14","Sukomoro",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17" s="16" t="s">
        <v>114</v>
      </c>
      <c r="F517" s="33" t="s">
        <v>1483</v>
      </c>
      <c r="G517" s="33" t="s">
        <v>1484</v>
      </c>
      <c r="H517" s="16" t="s">
        <v>31</v>
      </c>
      <c r="I517" s="16">
        <v>5</v>
      </c>
      <c r="J517" s="16">
        <v>3</v>
      </c>
      <c r="K517" s="16">
        <f t="shared" si="10"/>
        <v>8</v>
      </c>
      <c r="L517" s="65">
        <v>20000000</v>
      </c>
      <c r="M517" s="17" t="s">
        <v>1478</v>
      </c>
      <c r="N517" s="69">
        <v>140</v>
      </c>
      <c r="O517" s="66" t="s">
        <v>1238</v>
      </c>
      <c r="P517" s="30">
        <v>39600000</v>
      </c>
      <c r="Q517" s="17" t="s">
        <v>1479</v>
      </c>
      <c r="R517" s="67">
        <v>2</v>
      </c>
      <c r="S517" s="16" t="s">
        <v>83</v>
      </c>
      <c r="T517" s="30">
        <v>19800000</v>
      </c>
      <c r="U517" s="16" t="s">
        <v>22</v>
      </c>
      <c r="V517" s="16">
        <v>0</v>
      </c>
      <c r="W517" s="16">
        <v>0</v>
      </c>
      <c r="X517" s="16">
        <v>0</v>
      </c>
      <c r="Y517" s="16">
        <v>80</v>
      </c>
      <c r="Z517" s="16">
        <v>20</v>
      </c>
      <c r="AA517" s="16">
        <v>0</v>
      </c>
      <c r="AB517" s="16">
        <v>0</v>
      </c>
      <c r="AC517" s="16"/>
      <c r="AD517" s="68"/>
      <c r="AE517" s="23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</row>
    <row r="518" spans="1:84" s="2" customFormat="1" x14ac:dyDescent="0.2">
      <c r="A518" s="17" t="s">
        <v>3921</v>
      </c>
      <c r="B518" s="17" t="s">
        <v>45</v>
      </c>
      <c r="C518" s="17">
        <v>2025</v>
      </c>
      <c r="D518" s="17" t="str">
        <f t="array" ref="D518">_xlfn.SWITCH(E518,"Bagor","35.18.14","Sukomoro",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18" s="16" t="s">
        <v>45</v>
      </c>
      <c r="F518" s="33" t="s">
        <v>1485</v>
      </c>
      <c r="G518" s="33" t="s">
        <v>1486</v>
      </c>
      <c r="H518" s="16" t="s">
        <v>31</v>
      </c>
      <c r="I518" s="16">
        <v>1</v>
      </c>
      <c r="J518" s="16">
        <v>0</v>
      </c>
      <c r="K518" s="16">
        <f t="shared" si="10"/>
        <v>1</v>
      </c>
      <c r="L518" s="65">
        <v>7000000</v>
      </c>
      <c r="M518" s="17" t="s">
        <v>1487</v>
      </c>
      <c r="N518" s="65">
        <v>3600</v>
      </c>
      <c r="O518" s="66" t="s">
        <v>49</v>
      </c>
      <c r="P518" s="70">
        <v>7938000</v>
      </c>
      <c r="Q518" s="17" t="s">
        <v>1488</v>
      </c>
      <c r="R518" s="67">
        <v>360</v>
      </c>
      <c r="S518" s="16" t="s">
        <v>1130</v>
      </c>
      <c r="T518" s="30">
        <v>1440000</v>
      </c>
      <c r="U518" s="16" t="s">
        <v>22</v>
      </c>
      <c r="V518" s="16">
        <v>0</v>
      </c>
      <c r="W518" s="16">
        <v>0</v>
      </c>
      <c r="X518" s="16">
        <v>0</v>
      </c>
      <c r="Y518" s="16">
        <v>100</v>
      </c>
      <c r="Z518" s="16">
        <v>0</v>
      </c>
      <c r="AA518" s="16">
        <v>0</v>
      </c>
      <c r="AB518" s="16">
        <v>0</v>
      </c>
      <c r="AC518" s="16"/>
      <c r="AD518" s="68"/>
      <c r="AE518" s="23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</row>
    <row r="519" spans="1:84" s="2" customFormat="1" x14ac:dyDescent="0.2">
      <c r="A519" s="17" t="s">
        <v>3921</v>
      </c>
      <c r="B519" s="17" t="s">
        <v>45</v>
      </c>
      <c r="C519" s="17">
        <v>2025</v>
      </c>
      <c r="D519" s="17" t="str">
        <f t="array" ref="D519">_xlfn.SWITCH(E519,"Jatikalen","35.18.20","Kertosono", "35.18.08","Lengkong","35.18.19","Loceret","35.18.04","Tanjunganom","35.18.11","Wilangan","35.18.15")</f>
        <v>35.18.11</v>
      </c>
      <c r="E519" s="16" t="s">
        <v>60</v>
      </c>
      <c r="F519" s="33" t="s">
        <v>1489</v>
      </c>
      <c r="G519" s="33" t="s">
        <v>1490</v>
      </c>
      <c r="H519" s="16" t="s">
        <v>31</v>
      </c>
      <c r="I519" s="16">
        <v>1</v>
      </c>
      <c r="J519" s="16">
        <v>5</v>
      </c>
      <c r="K519" s="16">
        <f t="shared" si="10"/>
        <v>6</v>
      </c>
      <c r="L519" s="65">
        <v>30000000</v>
      </c>
      <c r="M519" s="17" t="s">
        <v>1073</v>
      </c>
      <c r="N519" s="67">
        <v>390</v>
      </c>
      <c r="O519" s="66" t="s">
        <v>1194</v>
      </c>
      <c r="P519" s="30">
        <v>71250000</v>
      </c>
      <c r="Q519" s="17" t="s">
        <v>1468</v>
      </c>
      <c r="R519" s="67">
        <v>90</v>
      </c>
      <c r="S519" s="16" t="s">
        <v>1194</v>
      </c>
      <c r="T519" s="30">
        <v>24000000</v>
      </c>
      <c r="U519" s="16" t="s">
        <v>22</v>
      </c>
      <c r="V519" s="16">
        <v>0</v>
      </c>
      <c r="W519" s="16">
        <v>0</v>
      </c>
      <c r="X519" s="16">
        <v>0</v>
      </c>
      <c r="Y519" s="16">
        <v>80</v>
      </c>
      <c r="Z519" s="16">
        <v>20</v>
      </c>
      <c r="AA519" s="16">
        <v>0</v>
      </c>
      <c r="AB519" s="16">
        <v>0</v>
      </c>
      <c r="AC519" s="16"/>
      <c r="AD519" s="68"/>
      <c r="AE519" s="23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</row>
    <row r="520" spans="1:84" s="2" customFormat="1" x14ac:dyDescent="0.2">
      <c r="A520" s="17" t="s">
        <v>3921</v>
      </c>
      <c r="B520" s="17" t="s">
        <v>45</v>
      </c>
      <c r="C520" s="17">
        <v>2025</v>
      </c>
      <c r="D520" s="17" t="str">
        <f t="array" ref="D520">_xlfn.SWITCH(E520,"Bagor","35.18.14","Sukomoro",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20" s="16" t="s">
        <v>140</v>
      </c>
      <c r="F520" s="33" t="s">
        <v>1491</v>
      </c>
      <c r="G520" s="33" t="s">
        <v>1492</v>
      </c>
      <c r="H520" s="16" t="s">
        <v>31</v>
      </c>
      <c r="I520" s="16">
        <v>10</v>
      </c>
      <c r="J520" s="16">
        <v>7</v>
      </c>
      <c r="K520" s="16">
        <f t="shared" si="10"/>
        <v>17</v>
      </c>
      <c r="L520" s="65">
        <v>58000000</v>
      </c>
      <c r="M520" s="17" t="s">
        <v>1493</v>
      </c>
      <c r="N520" s="67">
        <v>700</v>
      </c>
      <c r="O520" s="66" t="s">
        <v>49</v>
      </c>
      <c r="P520" s="30">
        <f>700*150000</f>
        <v>105000000</v>
      </c>
      <c r="Q520" s="17" t="s">
        <v>50</v>
      </c>
      <c r="R520" s="67">
        <v>140</v>
      </c>
      <c r="S520" s="16" t="s">
        <v>51</v>
      </c>
      <c r="T520" s="30">
        <v>51100000</v>
      </c>
      <c r="U520" s="16" t="s">
        <v>22</v>
      </c>
      <c r="V520" s="16" t="s">
        <v>57</v>
      </c>
      <c r="W520" s="16">
        <v>40</v>
      </c>
      <c r="X520" s="16" t="s">
        <v>51</v>
      </c>
      <c r="Y520" s="16">
        <v>75</v>
      </c>
      <c r="Z520" s="16">
        <v>25</v>
      </c>
      <c r="AA520" s="16">
        <v>0</v>
      </c>
      <c r="AB520" s="16">
        <v>0</v>
      </c>
      <c r="AC520" s="16"/>
      <c r="AD520" s="68"/>
      <c r="AE520" s="23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</row>
    <row r="521" spans="1:84" s="2" customFormat="1" x14ac:dyDescent="0.2">
      <c r="A521" s="17" t="s">
        <v>3921</v>
      </c>
      <c r="B521" s="17" t="s">
        <v>45</v>
      </c>
      <c r="C521" s="17">
        <v>2025</v>
      </c>
      <c r="D521" s="17" t="str">
        <f t="array" ref="D521">_xlfn.SWITCH(E521,"Bagor","35.18.14","Sukomoro",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521" s="16" t="s">
        <v>103</v>
      </c>
      <c r="F521" s="33" t="s">
        <v>1225</v>
      </c>
      <c r="G521" s="33" t="s">
        <v>1494</v>
      </c>
      <c r="H521" s="16"/>
      <c r="I521" s="16">
        <v>20</v>
      </c>
      <c r="J521" s="16">
        <v>36</v>
      </c>
      <c r="K521" s="16">
        <f t="shared" si="10"/>
        <v>56</v>
      </c>
      <c r="L521" s="65">
        <v>69000000</v>
      </c>
      <c r="M521" s="17" t="s">
        <v>1495</v>
      </c>
      <c r="N521" s="65">
        <v>810</v>
      </c>
      <c r="O521" s="66" t="s">
        <v>49</v>
      </c>
      <c r="P521" s="70">
        <v>121500000</v>
      </c>
      <c r="Q521" s="17" t="s">
        <v>50</v>
      </c>
      <c r="R521" s="67">
        <v>162</v>
      </c>
      <c r="S521" s="16" t="s">
        <v>51</v>
      </c>
      <c r="T521" s="30">
        <v>59130000</v>
      </c>
      <c r="U521" s="16" t="s">
        <v>22</v>
      </c>
      <c r="V521" s="16" t="s">
        <v>57</v>
      </c>
      <c r="W521" s="16">
        <v>62</v>
      </c>
      <c r="X521" s="16" t="s">
        <v>51</v>
      </c>
      <c r="Y521" s="16">
        <v>75</v>
      </c>
      <c r="Z521" s="16">
        <v>25</v>
      </c>
      <c r="AA521" s="16">
        <v>0</v>
      </c>
      <c r="AB521" s="16">
        <v>0</v>
      </c>
      <c r="AC521" s="16"/>
      <c r="AD521" s="68"/>
      <c r="AE521" s="23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</row>
    <row r="522" spans="1:84" s="2" customFormat="1" x14ac:dyDescent="0.2">
      <c r="A522" s="17" t="s">
        <v>3921</v>
      </c>
      <c r="B522" s="17" t="s">
        <v>45</v>
      </c>
      <c r="C522" s="17">
        <v>2025</v>
      </c>
      <c r="D522" s="17" t="str">
        <f t="array" ref="D522">_xlfn.SWITCH(E522,"Bagor","35.18.14","Sukomoro",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22" s="16" t="s">
        <v>114</v>
      </c>
      <c r="F522" s="33" t="s">
        <v>1496</v>
      </c>
      <c r="G522" s="33" t="s">
        <v>1497</v>
      </c>
      <c r="H522" s="16" t="s">
        <v>31</v>
      </c>
      <c r="I522" s="16">
        <v>4</v>
      </c>
      <c r="J522" s="16">
        <v>0</v>
      </c>
      <c r="K522" s="16">
        <f t="shared" si="10"/>
        <v>4</v>
      </c>
      <c r="L522" s="65">
        <v>3000000</v>
      </c>
      <c r="M522" s="17" t="s">
        <v>1498</v>
      </c>
      <c r="N522" s="65">
        <v>24</v>
      </c>
      <c r="O522" s="66" t="s">
        <v>83</v>
      </c>
      <c r="P522" s="70">
        <v>38400000</v>
      </c>
      <c r="Q522" s="17" t="s">
        <v>1499</v>
      </c>
      <c r="R522" s="67">
        <v>24</v>
      </c>
      <c r="S522" s="16" t="s">
        <v>83</v>
      </c>
      <c r="T522" s="30">
        <v>19200000</v>
      </c>
      <c r="U522" s="16" t="s">
        <v>22</v>
      </c>
      <c r="V522" s="16">
        <v>0</v>
      </c>
      <c r="W522" s="16">
        <v>0</v>
      </c>
      <c r="X522" s="16">
        <v>0</v>
      </c>
      <c r="Y522" s="16">
        <v>60</v>
      </c>
      <c r="Z522" s="16">
        <v>40</v>
      </c>
      <c r="AA522" s="16">
        <v>0</v>
      </c>
      <c r="AB522" s="16">
        <v>0</v>
      </c>
      <c r="AC522" s="16" t="s">
        <v>1500</v>
      </c>
      <c r="AD522" s="68"/>
      <c r="AE522" s="23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</row>
    <row r="523" spans="1:84" s="2" customFormat="1" ht="20" x14ac:dyDescent="0.2">
      <c r="A523" s="17" t="s">
        <v>3921</v>
      </c>
      <c r="B523" s="17" t="s">
        <v>45</v>
      </c>
      <c r="C523" s="17">
        <v>2025</v>
      </c>
      <c r="D523" s="17" t="str">
        <f t="array" ref="D523">_xlfn.SWITCH(E523,"Bagor","35.18.14","Sukomoro",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23" s="16" t="s">
        <v>157</v>
      </c>
      <c r="F523" s="33" t="s">
        <v>1501</v>
      </c>
      <c r="G523" s="33" t="s">
        <v>1502</v>
      </c>
      <c r="H523" s="16" t="s">
        <v>47</v>
      </c>
      <c r="I523" s="16">
        <v>4</v>
      </c>
      <c r="J523" s="16">
        <v>0</v>
      </c>
      <c r="K523" s="16">
        <f t="shared" si="10"/>
        <v>4</v>
      </c>
      <c r="L523" s="65">
        <v>50000000</v>
      </c>
      <c r="M523" s="17" t="s">
        <v>1503</v>
      </c>
      <c r="N523" s="65">
        <v>1500</v>
      </c>
      <c r="O523" s="66" t="s">
        <v>1459</v>
      </c>
      <c r="P523" s="70">
        <v>2250000000</v>
      </c>
      <c r="Q523" s="17" t="s">
        <v>50</v>
      </c>
      <c r="R523" s="67">
        <v>1600</v>
      </c>
      <c r="S523" s="16" t="s">
        <v>51</v>
      </c>
      <c r="T523" s="30">
        <v>640000000</v>
      </c>
      <c r="U523" s="16" t="s">
        <v>22</v>
      </c>
      <c r="V523" s="16" t="s">
        <v>52</v>
      </c>
      <c r="W523" s="16">
        <v>230</v>
      </c>
      <c r="X523" s="16" t="s">
        <v>53</v>
      </c>
      <c r="Y523" s="16">
        <v>75</v>
      </c>
      <c r="Z523" s="16">
        <v>25</v>
      </c>
      <c r="AA523" s="16">
        <v>0</v>
      </c>
      <c r="AB523" s="16">
        <v>0</v>
      </c>
      <c r="AC523" s="16" t="s">
        <v>1504</v>
      </c>
      <c r="AD523" s="68"/>
      <c r="AE523" s="23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</row>
    <row r="524" spans="1:84" s="2" customFormat="1" ht="20" x14ac:dyDescent="0.2">
      <c r="A524" s="17" t="s">
        <v>3921</v>
      </c>
      <c r="B524" s="17" t="s">
        <v>45</v>
      </c>
      <c r="C524" s="17">
        <v>2025</v>
      </c>
      <c r="D524" s="17" t="str">
        <f t="array" ref="D524">_xlfn.SWITCH(E524,"Jatikalen","35.18.20","Kertosono", "35.18.08","Lengkong","35.18.19","Loceret","35.18.04","Tanjunganom","35.18.11","Wilangan","35.18.15")</f>
        <v>35.18.11</v>
      </c>
      <c r="E524" s="16" t="s">
        <v>60</v>
      </c>
      <c r="F524" s="33" t="s">
        <v>1505</v>
      </c>
      <c r="G524" s="33" t="s">
        <v>1506</v>
      </c>
      <c r="H524" s="16" t="s">
        <v>47</v>
      </c>
      <c r="I524" s="16">
        <v>2</v>
      </c>
      <c r="J524" s="16">
        <v>4</v>
      </c>
      <c r="K524" s="16">
        <f t="shared" si="10"/>
        <v>6</v>
      </c>
      <c r="L524" s="38">
        <v>25000000</v>
      </c>
      <c r="M524" s="17" t="s">
        <v>1478</v>
      </c>
      <c r="N524" s="65">
        <v>3000</v>
      </c>
      <c r="O524" s="66" t="s">
        <v>35</v>
      </c>
      <c r="P524" s="70">
        <f>3000*40000</f>
        <v>120000000</v>
      </c>
      <c r="Q524" s="17" t="s">
        <v>1507</v>
      </c>
      <c r="R524" s="67">
        <v>2000</v>
      </c>
      <c r="S524" s="16" t="s">
        <v>35</v>
      </c>
      <c r="T524" s="30">
        <v>40000000</v>
      </c>
      <c r="U524" s="16" t="s">
        <v>22</v>
      </c>
      <c r="V524" s="16">
        <v>0</v>
      </c>
      <c r="W524" s="16">
        <v>0</v>
      </c>
      <c r="X524" s="16">
        <v>0</v>
      </c>
      <c r="Y524" s="16">
        <v>80</v>
      </c>
      <c r="Z524" s="16">
        <v>20</v>
      </c>
      <c r="AA524" s="16">
        <v>0</v>
      </c>
      <c r="AB524" s="16">
        <v>0</v>
      </c>
      <c r="AC524" s="16" t="s">
        <v>1508</v>
      </c>
      <c r="AD524" s="68"/>
      <c r="AE524" s="23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</row>
    <row r="525" spans="1:84" s="2" customFormat="1" ht="20" x14ac:dyDescent="0.2">
      <c r="A525" s="17" t="s">
        <v>3921</v>
      </c>
      <c r="B525" s="17" t="s">
        <v>45</v>
      </c>
      <c r="C525" s="17">
        <v>2025</v>
      </c>
      <c r="D525" s="17" t="str">
        <f t="array" ref="D525">_xlfn.SWITCH(E525,"Bagor","35.18.14","Sukomoro",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25" s="16" t="s">
        <v>45</v>
      </c>
      <c r="F525" s="33" t="s">
        <v>1509</v>
      </c>
      <c r="G525" s="33" t="s">
        <v>1510</v>
      </c>
      <c r="H525" s="16" t="s">
        <v>47</v>
      </c>
      <c r="I525" s="16">
        <v>1</v>
      </c>
      <c r="J525" s="16">
        <v>1</v>
      </c>
      <c r="K525" s="16">
        <f t="shared" si="10"/>
        <v>2</v>
      </c>
      <c r="L525" s="38">
        <v>40000000</v>
      </c>
      <c r="M525" s="17" t="s">
        <v>1511</v>
      </c>
      <c r="N525" s="65">
        <v>80</v>
      </c>
      <c r="O525" s="66" t="s">
        <v>83</v>
      </c>
      <c r="P525" s="70">
        <v>128000000</v>
      </c>
      <c r="Q525" s="17" t="s">
        <v>50</v>
      </c>
      <c r="R525" s="67">
        <v>60</v>
      </c>
      <c r="S525" s="16" t="s">
        <v>83</v>
      </c>
      <c r="T525" s="30">
        <v>48000000</v>
      </c>
      <c r="U525" s="16" t="s">
        <v>22</v>
      </c>
      <c r="V525" s="16" t="s">
        <v>57</v>
      </c>
      <c r="W525" s="16">
        <v>20</v>
      </c>
      <c r="X525" s="16" t="s">
        <v>51</v>
      </c>
      <c r="Y525" s="16">
        <v>90</v>
      </c>
      <c r="Z525" s="16">
        <v>10</v>
      </c>
      <c r="AA525" s="16">
        <v>0</v>
      </c>
      <c r="AB525" s="16">
        <v>0</v>
      </c>
      <c r="AC525" s="16" t="s">
        <v>1512</v>
      </c>
      <c r="AD525" s="68"/>
      <c r="AE525" s="23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</row>
    <row r="526" spans="1:84" s="2" customFormat="1" x14ac:dyDescent="0.2">
      <c r="A526" s="17" t="s">
        <v>3921</v>
      </c>
      <c r="B526" s="17" t="s">
        <v>45</v>
      </c>
      <c r="C526" s="17">
        <v>2025</v>
      </c>
      <c r="D526" s="17" t="str">
        <f t="array" ref="D526">_xlfn.SWITCH(E526,"Jatikalen","35.18.20","Kertosono", "35.18.08","Lengkong","35.18.19","Loceret","35.18.04","Tanjunganom","35.18.11","Wilangan","35.18.15")</f>
        <v>35.18.04</v>
      </c>
      <c r="E526" s="16" t="s">
        <v>41</v>
      </c>
      <c r="F526" s="33" t="s">
        <v>1513</v>
      </c>
      <c r="G526" s="17" t="s">
        <v>1433</v>
      </c>
      <c r="H526" s="16" t="s">
        <v>47</v>
      </c>
      <c r="I526" s="16">
        <v>6</v>
      </c>
      <c r="J526" s="16">
        <v>0</v>
      </c>
      <c r="K526" s="16">
        <f t="shared" si="10"/>
        <v>6</v>
      </c>
      <c r="L526" s="38">
        <v>125000000</v>
      </c>
      <c r="M526" s="71" t="s">
        <v>1514</v>
      </c>
      <c r="N526" s="69">
        <v>3000</v>
      </c>
      <c r="O526" s="72" t="s">
        <v>51</v>
      </c>
      <c r="P526" s="70">
        <v>5100000000</v>
      </c>
      <c r="Q526" s="33" t="s">
        <v>50</v>
      </c>
      <c r="R526" s="67">
        <v>4800</v>
      </c>
      <c r="S526" s="16" t="s">
        <v>51</v>
      </c>
      <c r="T526" s="30">
        <v>1680000000</v>
      </c>
      <c r="U526" s="16" t="s">
        <v>22</v>
      </c>
      <c r="V526" s="20" t="s">
        <v>52</v>
      </c>
      <c r="W526" s="16">
        <v>1200</v>
      </c>
      <c r="X526" s="16" t="s">
        <v>53</v>
      </c>
      <c r="Y526" s="16">
        <v>70</v>
      </c>
      <c r="Z526" s="16">
        <v>30</v>
      </c>
      <c r="AA526" s="16">
        <v>0</v>
      </c>
      <c r="AB526" s="16">
        <v>0</v>
      </c>
      <c r="AC526" s="16" t="s">
        <v>1515</v>
      </c>
      <c r="AD526" s="68"/>
      <c r="AE526" s="23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</row>
    <row r="527" spans="1:84" s="2" customFormat="1" ht="20" x14ac:dyDescent="0.2">
      <c r="A527" s="17" t="s">
        <v>3921</v>
      </c>
      <c r="B527" s="17" t="s">
        <v>45</v>
      </c>
      <c r="C527" s="17">
        <v>2025</v>
      </c>
      <c r="D527" s="17" t="str">
        <f t="array" ref="D527">_xlfn.SWITCH(E527,"Jatikalen","35.18.20","Kertosono", "35.18.08","Lengkong","35.18.19","Loceret","35.18.04","Tanjunganom","35.18.11","Wilangan","35.18.15")</f>
        <v>35.18.11</v>
      </c>
      <c r="E527" s="16" t="s">
        <v>60</v>
      </c>
      <c r="F527" s="33" t="s">
        <v>1516</v>
      </c>
      <c r="G527" s="33" t="s">
        <v>1517</v>
      </c>
      <c r="H527" s="16" t="s">
        <v>47</v>
      </c>
      <c r="I527" s="16">
        <v>5</v>
      </c>
      <c r="J527" s="16">
        <v>0</v>
      </c>
      <c r="K527" s="16">
        <f t="shared" si="10"/>
        <v>5</v>
      </c>
      <c r="L527" s="38">
        <v>20000000</v>
      </c>
      <c r="M527" s="17" t="s">
        <v>1518</v>
      </c>
      <c r="N527" s="65">
        <v>4</v>
      </c>
      <c r="O527" s="66" t="s">
        <v>1263</v>
      </c>
      <c r="P527" s="70">
        <v>60000000</v>
      </c>
      <c r="Q527" s="33" t="s">
        <v>50</v>
      </c>
      <c r="R527" s="67">
        <v>3</v>
      </c>
      <c r="S527" s="16" t="s">
        <v>51</v>
      </c>
      <c r="T527" s="30">
        <v>18000000</v>
      </c>
      <c r="U527" s="16" t="s">
        <v>22</v>
      </c>
      <c r="V527" s="20" t="s">
        <v>52</v>
      </c>
      <c r="W527" s="16">
        <v>25</v>
      </c>
      <c r="X527" s="16" t="s">
        <v>53</v>
      </c>
      <c r="Y527" s="16">
        <v>60</v>
      </c>
      <c r="Z527" s="16">
        <v>40</v>
      </c>
      <c r="AA527" s="16">
        <v>0</v>
      </c>
      <c r="AB527" s="16">
        <v>0</v>
      </c>
      <c r="AC527" s="16" t="s">
        <v>1519</v>
      </c>
      <c r="AD527" s="68"/>
      <c r="AE527" s="23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</row>
    <row r="528" spans="1:84" s="2" customFormat="1" ht="20" x14ac:dyDescent="0.2">
      <c r="A528" s="17" t="s">
        <v>3921</v>
      </c>
      <c r="B528" s="17" t="s">
        <v>45</v>
      </c>
      <c r="C528" s="17">
        <v>2025</v>
      </c>
      <c r="D528" s="17" t="str">
        <f t="array" ref="D528">_xlfn.SWITCH(E528,"Jatikalen","35.18.20","Kertosono", "35.18.08","Lengkong","35.18.19","Loceret","35.18.04","Tanjunganom","35.18.11","Wilangan","35.18.15")</f>
        <v>35.18.04</v>
      </c>
      <c r="E528" s="16" t="s">
        <v>41</v>
      </c>
      <c r="F528" s="33" t="s">
        <v>1520</v>
      </c>
      <c r="G528" s="33" t="s">
        <v>1521</v>
      </c>
      <c r="H528" s="16" t="s">
        <v>47</v>
      </c>
      <c r="I528" s="16">
        <v>3</v>
      </c>
      <c r="J528" s="16">
        <v>0</v>
      </c>
      <c r="K528" s="16">
        <f t="shared" si="10"/>
        <v>3</v>
      </c>
      <c r="L528" s="38">
        <v>25000000</v>
      </c>
      <c r="M528" s="17" t="s">
        <v>1518</v>
      </c>
      <c r="N528" s="65">
        <v>50</v>
      </c>
      <c r="O528" s="66" t="s">
        <v>51</v>
      </c>
      <c r="P528" s="70">
        <v>500000000</v>
      </c>
      <c r="Q528" s="33" t="s">
        <v>50</v>
      </c>
      <c r="R528" s="67">
        <v>55</v>
      </c>
      <c r="S528" s="16" t="s">
        <v>51</v>
      </c>
      <c r="T528" s="30">
        <v>247500000</v>
      </c>
      <c r="U528" s="16" t="s">
        <v>22</v>
      </c>
      <c r="V528" s="20" t="s">
        <v>52</v>
      </c>
      <c r="W528" s="16">
        <v>31</v>
      </c>
      <c r="X528" s="16" t="s">
        <v>53</v>
      </c>
      <c r="Y528" s="16">
        <v>90</v>
      </c>
      <c r="Z528" s="16">
        <v>10</v>
      </c>
      <c r="AA528" s="16">
        <v>0</v>
      </c>
      <c r="AB528" s="16">
        <v>0</v>
      </c>
      <c r="AC528" s="16" t="s">
        <v>1522</v>
      </c>
      <c r="AD528" s="68"/>
      <c r="AE528" s="23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</row>
    <row r="529" spans="1:84" s="2" customFormat="1" x14ac:dyDescent="0.2">
      <c r="A529" s="17" t="s">
        <v>3921</v>
      </c>
      <c r="B529" s="17" t="s">
        <v>45</v>
      </c>
      <c r="C529" s="17">
        <v>2025</v>
      </c>
      <c r="D529" s="17" t="str">
        <f t="array" ref="D529">_xlfn.SWITCH(E529,"Jatikalen","35.18.20","Kertosono", "35.18.08","Lengkong","35.18.19","Loceret","35.18.04","Tanjunganom","35.18.11","Wilangan","35.18.15")</f>
        <v>35.18.11</v>
      </c>
      <c r="E529" s="16" t="s">
        <v>60</v>
      </c>
      <c r="F529" s="33" t="s">
        <v>1523</v>
      </c>
      <c r="G529" s="33" t="s">
        <v>1524</v>
      </c>
      <c r="H529" s="16" t="s">
        <v>47</v>
      </c>
      <c r="I529" s="16">
        <v>2</v>
      </c>
      <c r="J529" s="16">
        <v>1</v>
      </c>
      <c r="K529" s="16">
        <f t="shared" si="10"/>
        <v>3</v>
      </c>
      <c r="L529" s="38">
        <v>50000000</v>
      </c>
      <c r="M529" s="17" t="s">
        <v>1525</v>
      </c>
      <c r="N529" s="65">
        <v>1200</v>
      </c>
      <c r="O529" s="66" t="s">
        <v>422</v>
      </c>
      <c r="P529" s="70">
        <v>360000000</v>
      </c>
      <c r="Q529" s="33" t="s">
        <v>1526</v>
      </c>
      <c r="R529" s="67">
        <v>860</v>
      </c>
      <c r="S529" s="16" t="s">
        <v>422</v>
      </c>
      <c r="T529" s="30">
        <v>129000000</v>
      </c>
      <c r="U529" s="16" t="s">
        <v>22</v>
      </c>
      <c r="V529" s="16">
        <v>0</v>
      </c>
      <c r="W529" s="16">
        <v>0</v>
      </c>
      <c r="X529" s="16">
        <v>0</v>
      </c>
      <c r="Y529" s="16">
        <v>80</v>
      </c>
      <c r="Z529" s="16">
        <v>20</v>
      </c>
      <c r="AA529" s="16">
        <v>0</v>
      </c>
      <c r="AB529" s="16">
        <v>0</v>
      </c>
      <c r="AC529" s="16" t="s">
        <v>1527</v>
      </c>
      <c r="AD529" s="68"/>
      <c r="AE529" s="23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</row>
    <row r="530" spans="1:84" s="2" customFormat="1" ht="20" x14ac:dyDescent="0.2">
      <c r="A530" s="17" t="s">
        <v>3921</v>
      </c>
      <c r="B530" s="17" t="s">
        <v>45</v>
      </c>
      <c r="C530" s="17">
        <v>2025</v>
      </c>
      <c r="D530" s="17" t="str">
        <f t="array" ref="D530">_xlfn.SWITCH(E530,"Bagor","35.18.14","Sukomoro",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30" s="16" t="s">
        <v>71</v>
      </c>
      <c r="F530" s="33" t="s">
        <v>1528</v>
      </c>
      <c r="G530" s="33" t="s">
        <v>1529</v>
      </c>
      <c r="H530" s="16" t="s">
        <v>47</v>
      </c>
      <c r="I530" s="16">
        <v>4</v>
      </c>
      <c r="J530" s="16">
        <v>3</v>
      </c>
      <c r="K530" s="16">
        <f t="shared" si="10"/>
        <v>7</v>
      </c>
      <c r="L530" s="38">
        <v>75000000</v>
      </c>
      <c r="M530" s="17" t="s">
        <v>354</v>
      </c>
      <c r="N530" s="65">
        <v>500</v>
      </c>
      <c r="O530" s="66" t="s">
        <v>143</v>
      </c>
      <c r="P530" s="70">
        <v>400000000</v>
      </c>
      <c r="Q530" s="17" t="s">
        <v>1005</v>
      </c>
      <c r="R530" s="67">
        <v>20</v>
      </c>
      <c r="S530" s="16" t="s">
        <v>83</v>
      </c>
      <c r="T530" s="30">
        <v>160000000</v>
      </c>
      <c r="U530" s="16" t="s">
        <v>22</v>
      </c>
      <c r="V530" s="20" t="s">
        <v>57</v>
      </c>
      <c r="W530" s="16">
        <v>70</v>
      </c>
      <c r="X530" s="16" t="s">
        <v>51</v>
      </c>
      <c r="Y530" s="16">
        <v>80</v>
      </c>
      <c r="Z530" s="16">
        <v>20</v>
      </c>
      <c r="AA530" s="16">
        <v>0</v>
      </c>
      <c r="AB530" s="16">
        <v>0</v>
      </c>
      <c r="AC530" s="16" t="s">
        <v>1530</v>
      </c>
      <c r="AD530" s="68"/>
      <c r="AE530" s="23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</row>
    <row r="531" spans="1:84" s="2" customFormat="1" ht="20" x14ac:dyDescent="0.2">
      <c r="A531" s="17" t="s">
        <v>3921</v>
      </c>
      <c r="B531" s="17" t="s">
        <v>45</v>
      </c>
      <c r="C531" s="17">
        <v>2025</v>
      </c>
      <c r="D531" s="17" t="str">
        <f t="array" ref="D531">_xlfn.SWITCH(E531,"Bagor","35.18.14","Sukomoro",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31" s="16" t="s">
        <v>45</v>
      </c>
      <c r="F531" s="33" t="s">
        <v>1531</v>
      </c>
      <c r="G531" s="33" t="s">
        <v>1532</v>
      </c>
      <c r="H531" s="16" t="s">
        <v>47</v>
      </c>
      <c r="I531" s="16">
        <v>10</v>
      </c>
      <c r="J531" s="16">
        <v>0</v>
      </c>
      <c r="K531" s="16">
        <f t="shared" si="10"/>
        <v>10</v>
      </c>
      <c r="L531" s="38">
        <v>50000000</v>
      </c>
      <c r="M531" s="17" t="s">
        <v>1518</v>
      </c>
      <c r="N531" s="67">
        <v>100</v>
      </c>
      <c r="O531" s="66" t="s">
        <v>51</v>
      </c>
      <c r="P531" s="70">
        <v>300000000</v>
      </c>
      <c r="Q531" s="33" t="s">
        <v>50</v>
      </c>
      <c r="R531" s="67">
        <v>112</v>
      </c>
      <c r="S531" s="16" t="s">
        <v>51</v>
      </c>
      <c r="T531" s="30">
        <v>112000000</v>
      </c>
      <c r="U531" s="16" t="s">
        <v>22</v>
      </c>
      <c r="V531" s="20" t="s">
        <v>998</v>
      </c>
      <c r="W531" s="16">
        <v>58</v>
      </c>
      <c r="X531" s="16" t="s">
        <v>53</v>
      </c>
      <c r="Y531" s="16">
        <v>75</v>
      </c>
      <c r="Z531" s="16">
        <v>25</v>
      </c>
      <c r="AA531" s="16">
        <v>0</v>
      </c>
      <c r="AB531" s="16">
        <v>0</v>
      </c>
      <c r="AC531" s="16" t="s">
        <v>1533</v>
      </c>
      <c r="AD531" s="68"/>
      <c r="AE531" s="23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</row>
    <row r="532" spans="1:84" s="2" customFormat="1" x14ac:dyDescent="0.2">
      <c r="A532" s="17" t="s">
        <v>3921</v>
      </c>
      <c r="B532" s="17" t="s">
        <v>45</v>
      </c>
      <c r="C532" s="17">
        <v>2025</v>
      </c>
      <c r="D532" s="17" t="str">
        <f t="array" ref="D532">_xlfn.SWITCH(E532,"Bagor","35.18.14","Sukomoro",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32" s="16" t="s">
        <v>71</v>
      </c>
      <c r="F532" s="33" t="s">
        <v>1534</v>
      </c>
      <c r="G532" s="33" t="s">
        <v>1535</v>
      </c>
      <c r="H532" s="16" t="s">
        <v>31</v>
      </c>
      <c r="I532" s="16">
        <v>6</v>
      </c>
      <c r="J532" s="16">
        <v>1</v>
      </c>
      <c r="K532" s="16">
        <f t="shared" si="10"/>
        <v>7</v>
      </c>
      <c r="L532" s="38">
        <v>150000000</v>
      </c>
      <c r="M532" s="17" t="s">
        <v>1536</v>
      </c>
      <c r="N532" s="65">
        <v>10</v>
      </c>
      <c r="O532" s="66" t="s">
        <v>1263</v>
      </c>
      <c r="P532" s="70">
        <v>125000000</v>
      </c>
      <c r="Q532" s="33" t="s">
        <v>1537</v>
      </c>
      <c r="R532" s="67">
        <v>4</v>
      </c>
      <c r="S532" s="16" t="s">
        <v>1538</v>
      </c>
      <c r="T532" s="30">
        <v>26000000</v>
      </c>
      <c r="U532" s="16" t="s">
        <v>22</v>
      </c>
      <c r="V532" s="16">
        <v>0</v>
      </c>
      <c r="W532" s="16">
        <v>0</v>
      </c>
      <c r="X532" s="16">
        <v>0</v>
      </c>
      <c r="Y532" s="16">
        <v>70</v>
      </c>
      <c r="Z532" s="16">
        <v>30</v>
      </c>
      <c r="AA532" s="16">
        <v>0</v>
      </c>
      <c r="AB532" s="16">
        <v>0</v>
      </c>
      <c r="AC532" s="16" t="s">
        <v>1539</v>
      </c>
      <c r="AD532" s="68"/>
      <c r="AE532" s="23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</row>
    <row r="533" spans="1:84" s="2" customFormat="1" ht="20" x14ac:dyDescent="0.2">
      <c r="A533" s="17" t="s">
        <v>3921</v>
      </c>
      <c r="B533" s="17" t="s">
        <v>45</v>
      </c>
      <c r="C533" s="17">
        <v>2025</v>
      </c>
      <c r="D533" s="17" t="str">
        <f t="array" ref="D533">_xlfn.SWITCH(E533,"Bagor","35.18.14","Sukomoro",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33" s="16" t="s">
        <v>124</v>
      </c>
      <c r="F533" s="33" t="s">
        <v>1540</v>
      </c>
      <c r="G533" s="33" t="s">
        <v>1541</v>
      </c>
      <c r="H533" s="16" t="s">
        <v>31</v>
      </c>
      <c r="I533" s="16">
        <v>13</v>
      </c>
      <c r="J533" s="16">
        <v>3</v>
      </c>
      <c r="K533" s="16">
        <f t="shared" si="10"/>
        <v>16</v>
      </c>
      <c r="L533" s="38">
        <v>25000000</v>
      </c>
      <c r="M533" s="17" t="s">
        <v>1542</v>
      </c>
      <c r="N533" s="65">
        <v>630000</v>
      </c>
      <c r="O533" s="66" t="s">
        <v>49</v>
      </c>
      <c r="P533" s="70">
        <v>315000000</v>
      </c>
      <c r="Q533" s="33" t="s">
        <v>159</v>
      </c>
      <c r="R533" s="67">
        <v>20</v>
      </c>
      <c r="S533" s="16" t="s">
        <v>83</v>
      </c>
      <c r="T533" s="30">
        <v>140000000</v>
      </c>
      <c r="U533" s="16" t="s">
        <v>22</v>
      </c>
      <c r="V533" s="16">
        <v>0</v>
      </c>
      <c r="W533" s="16">
        <v>0</v>
      </c>
      <c r="X533" s="16">
        <v>0</v>
      </c>
      <c r="Y533" s="16">
        <v>90</v>
      </c>
      <c r="Z533" s="16">
        <v>10</v>
      </c>
      <c r="AA533" s="16">
        <v>0</v>
      </c>
      <c r="AB533" s="16">
        <v>0</v>
      </c>
      <c r="AC533" s="16" t="s">
        <v>1543</v>
      </c>
      <c r="AD533" s="68"/>
      <c r="AE533" s="23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</row>
    <row r="534" spans="1:84" s="2" customFormat="1" x14ac:dyDescent="0.2">
      <c r="A534" s="17" t="s">
        <v>3921</v>
      </c>
      <c r="B534" s="17" t="s">
        <v>45</v>
      </c>
      <c r="C534" s="17">
        <v>2025</v>
      </c>
      <c r="D534" s="17" t="str">
        <f t="array" ref="D534">_xlfn.SWITCH(E534,"Bagor","35.18.14","Sukomoro",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34" s="16" t="s">
        <v>114</v>
      </c>
      <c r="F534" s="33" t="s">
        <v>1544</v>
      </c>
      <c r="G534" s="33" t="s">
        <v>1545</v>
      </c>
      <c r="H534" s="16"/>
      <c r="I534" s="16">
        <v>5</v>
      </c>
      <c r="J534" s="16">
        <v>10</v>
      </c>
      <c r="K534" s="16">
        <f t="shared" si="10"/>
        <v>15</v>
      </c>
      <c r="L534" s="38">
        <v>200000000</v>
      </c>
      <c r="M534" s="17" t="s">
        <v>32</v>
      </c>
      <c r="N534" s="65">
        <v>3000000</v>
      </c>
      <c r="O534" s="66" t="s">
        <v>1538</v>
      </c>
      <c r="P534" s="70">
        <v>600000000</v>
      </c>
      <c r="Q534" s="33" t="s">
        <v>34</v>
      </c>
      <c r="R534" s="67">
        <v>300</v>
      </c>
      <c r="S534" s="16" t="s">
        <v>35</v>
      </c>
      <c r="T534" s="30">
        <v>360000000</v>
      </c>
      <c r="U534" s="16" t="s">
        <v>22</v>
      </c>
      <c r="V534" s="16">
        <v>0</v>
      </c>
      <c r="W534" s="16">
        <v>0</v>
      </c>
      <c r="X534" s="16">
        <v>0</v>
      </c>
      <c r="Y534" s="16">
        <v>80</v>
      </c>
      <c r="Z534" s="16">
        <v>20</v>
      </c>
      <c r="AA534" s="16">
        <v>0</v>
      </c>
      <c r="AB534" s="16">
        <v>0</v>
      </c>
      <c r="AC534" s="16" t="s">
        <v>1546</v>
      </c>
      <c r="AD534" s="68"/>
      <c r="AE534" s="23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</row>
    <row r="535" spans="1:84" s="2" customFormat="1" x14ac:dyDescent="0.2">
      <c r="A535" s="17" t="s">
        <v>3921</v>
      </c>
      <c r="B535" s="17" t="s">
        <v>45</v>
      </c>
      <c r="C535" s="17">
        <v>2025</v>
      </c>
      <c r="D535" s="17" t="str">
        <f t="array" ref="D535">_xlfn.SWITCH(E535,"Bagor","35.18.14","Sukomoro",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35" s="16" t="s">
        <v>124</v>
      </c>
      <c r="F535" s="33" t="s">
        <v>1547</v>
      </c>
      <c r="G535" s="33" t="s">
        <v>1548</v>
      </c>
      <c r="H535" s="16" t="s">
        <v>47</v>
      </c>
      <c r="I535" s="16">
        <v>7</v>
      </c>
      <c r="J535" s="16">
        <v>3</v>
      </c>
      <c r="K535" s="16">
        <f t="shared" si="10"/>
        <v>10</v>
      </c>
      <c r="L535" s="38">
        <v>50000000</v>
      </c>
      <c r="M535" s="17" t="s">
        <v>285</v>
      </c>
      <c r="N535" s="67">
        <v>300000</v>
      </c>
      <c r="O535" s="66" t="s">
        <v>1130</v>
      </c>
      <c r="P535" s="70">
        <v>600000000</v>
      </c>
      <c r="Q535" s="33" t="s">
        <v>286</v>
      </c>
      <c r="R535" s="67">
        <v>130</v>
      </c>
      <c r="S535" s="16" t="s">
        <v>83</v>
      </c>
      <c r="T535" s="30">
        <v>162500000</v>
      </c>
      <c r="U535" s="16" t="s">
        <v>22</v>
      </c>
      <c r="V535" s="20" t="s">
        <v>57</v>
      </c>
      <c r="W535" s="16">
        <v>63</v>
      </c>
      <c r="X535" s="16" t="s">
        <v>51</v>
      </c>
      <c r="Y535" s="16">
        <v>80</v>
      </c>
      <c r="Z535" s="16">
        <v>20</v>
      </c>
      <c r="AA535" s="16">
        <v>0</v>
      </c>
      <c r="AB535" s="16">
        <v>0</v>
      </c>
      <c r="AC535" s="16" t="s">
        <v>1549</v>
      </c>
      <c r="AD535" s="68"/>
      <c r="AE535" s="23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</row>
    <row r="536" spans="1:84" s="2" customFormat="1" x14ac:dyDescent="0.2">
      <c r="A536" s="17" t="s">
        <v>3921</v>
      </c>
      <c r="B536" s="17" t="s">
        <v>45</v>
      </c>
      <c r="C536" s="17">
        <v>2025</v>
      </c>
      <c r="D536" s="17" t="str">
        <f t="array" ref="D536">_xlfn.SWITCH(E536,"Bagor","35.18.14","Sukomoro",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36" s="16" t="s">
        <v>124</v>
      </c>
      <c r="F536" s="33" t="s">
        <v>1550</v>
      </c>
      <c r="G536" s="33" t="s">
        <v>1551</v>
      </c>
      <c r="H536" s="16" t="s">
        <v>31</v>
      </c>
      <c r="I536" s="16">
        <v>2</v>
      </c>
      <c r="J536" s="16">
        <v>3</v>
      </c>
      <c r="K536" s="16">
        <f t="shared" si="10"/>
        <v>5</v>
      </c>
      <c r="L536" s="38">
        <v>10000000</v>
      </c>
      <c r="M536" s="17" t="s">
        <v>1552</v>
      </c>
      <c r="N536" s="67">
        <v>26</v>
      </c>
      <c r="O536" s="66" t="s">
        <v>1238</v>
      </c>
      <c r="P536" s="70">
        <v>31200000</v>
      </c>
      <c r="Q536" s="33" t="s">
        <v>1553</v>
      </c>
      <c r="R536" s="67">
        <v>20</v>
      </c>
      <c r="S536" s="16" t="s">
        <v>1238</v>
      </c>
      <c r="T536" s="30">
        <v>14000000</v>
      </c>
      <c r="U536" s="16" t="s">
        <v>22</v>
      </c>
      <c r="V536" s="16">
        <v>0</v>
      </c>
      <c r="W536" s="16">
        <v>0</v>
      </c>
      <c r="X536" s="16">
        <v>0</v>
      </c>
      <c r="Y536" s="16">
        <v>80</v>
      </c>
      <c r="Z536" s="16">
        <v>20</v>
      </c>
      <c r="AA536" s="16">
        <v>0</v>
      </c>
      <c r="AB536" s="16">
        <v>0</v>
      </c>
      <c r="AC536" s="16" t="s">
        <v>1554</v>
      </c>
      <c r="AD536" s="68"/>
      <c r="AE536" s="23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</row>
    <row r="537" spans="1:84" s="2" customFormat="1" x14ac:dyDescent="0.2">
      <c r="A537" s="17" t="s">
        <v>3921</v>
      </c>
      <c r="B537" s="17" t="s">
        <v>45</v>
      </c>
      <c r="C537" s="17">
        <v>2025</v>
      </c>
      <c r="D537" s="17" t="str">
        <f t="array" ref="D537">_xlfn.SWITCH(E537,"Bagor","35.18.14","Sukomoro",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37" s="16" t="s">
        <v>157</v>
      </c>
      <c r="F537" s="33" t="s">
        <v>1555</v>
      </c>
      <c r="G537" s="33" t="s">
        <v>1556</v>
      </c>
      <c r="H537" s="16" t="s">
        <v>47</v>
      </c>
      <c r="I537" s="16">
        <v>10</v>
      </c>
      <c r="J537" s="16">
        <v>0</v>
      </c>
      <c r="K537" s="16">
        <f t="shared" si="10"/>
        <v>10</v>
      </c>
      <c r="L537" s="38">
        <v>50000000</v>
      </c>
      <c r="M537" s="17" t="s">
        <v>1518</v>
      </c>
      <c r="N537" s="67">
        <v>150</v>
      </c>
      <c r="O537" s="66" t="s">
        <v>1263</v>
      </c>
      <c r="P537" s="70">
        <v>750000000</v>
      </c>
      <c r="Q537" s="33" t="s">
        <v>50</v>
      </c>
      <c r="R537" s="67">
        <v>110</v>
      </c>
      <c r="S537" s="16" t="s">
        <v>51</v>
      </c>
      <c r="T537" s="30">
        <v>220000000</v>
      </c>
      <c r="U537" s="16" t="s">
        <v>22</v>
      </c>
      <c r="V537" s="20" t="s">
        <v>998</v>
      </c>
      <c r="W537" s="16">
        <v>40</v>
      </c>
      <c r="X537" s="16" t="s">
        <v>53</v>
      </c>
      <c r="Y537" s="16">
        <v>80</v>
      </c>
      <c r="Z537" s="16">
        <v>20</v>
      </c>
      <c r="AA537" s="16">
        <v>0</v>
      </c>
      <c r="AB537" s="16">
        <v>0</v>
      </c>
      <c r="AC537" s="16" t="s">
        <v>1557</v>
      </c>
      <c r="AD537" s="68"/>
      <c r="AE537" s="23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</row>
    <row r="538" spans="1:84" s="2" customFormat="1" x14ac:dyDescent="0.2">
      <c r="A538" s="17" t="s">
        <v>3921</v>
      </c>
      <c r="B538" s="17" t="s">
        <v>45</v>
      </c>
      <c r="C538" s="17">
        <v>2025</v>
      </c>
      <c r="D538" s="17" t="str">
        <f t="array" ref="D538">_xlfn.SWITCH(E538,"Bagor","35.18.14","Sukomoro",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38" s="16" t="s">
        <v>157</v>
      </c>
      <c r="F538" s="33" t="s">
        <v>1558</v>
      </c>
      <c r="G538" s="33" t="s">
        <v>1559</v>
      </c>
      <c r="H538" s="16" t="s">
        <v>47</v>
      </c>
      <c r="I538" s="16">
        <v>7</v>
      </c>
      <c r="J538" s="16">
        <v>0</v>
      </c>
      <c r="K538" s="16">
        <f t="shared" si="10"/>
        <v>7</v>
      </c>
      <c r="L538" s="38">
        <v>150000000</v>
      </c>
      <c r="M538" s="17" t="s">
        <v>1518</v>
      </c>
      <c r="N538" s="67">
        <v>34</v>
      </c>
      <c r="O538" s="66" t="s">
        <v>1263</v>
      </c>
      <c r="P538" s="70">
        <v>340000000</v>
      </c>
      <c r="Q538" s="33" t="s">
        <v>50</v>
      </c>
      <c r="R538" s="67">
        <v>30</v>
      </c>
      <c r="S538" s="16" t="s">
        <v>51</v>
      </c>
      <c r="T538" s="30">
        <v>60000000</v>
      </c>
      <c r="U538" s="16" t="s">
        <v>22</v>
      </c>
      <c r="V538" s="20" t="s">
        <v>998</v>
      </c>
      <c r="W538" s="16">
        <v>12</v>
      </c>
      <c r="X538" s="16" t="s">
        <v>53</v>
      </c>
      <c r="Y538" s="16">
        <v>50</v>
      </c>
      <c r="Z538" s="16">
        <v>30</v>
      </c>
      <c r="AA538" s="16">
        <v>20</v>
      </c>
      <c r="AB538" s="16">
        <v>0</v>
      </c>
      <c r="AC538" s="16" t="s">
        <v>1560</v>
      </c>
      <c r="AD538" s="68"/>
      <c r="AE538" s="23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</row>
    <row r="539" spans="1:84" s="2" customFormat="1" x14ac:dyDescent="0.2">
      <c r="A539" s="17" t="s">
        <v>3921</v>
      </c>
      <c r="B539" s="17" t="s">
        <v>45</v>
      </c>
      <c r="C539" s="17">
        <v>2025</v>
      </c>
      <c r="D539" s="17" t="str">
        <f t="array" ref="D539">_xlfn.SWITCH(E539,"Bagor","35.18.14","Sukomoro",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39" s="16" t="s">
        <v>29</v>
      </c>
      <c r="F539" s="33" t="s">
        <v>1561</v>
      </c>
      <c r="G539" s="33" t="s">
        <v>1562</v>
      </c>
      <c r="H539" s="16" t="s">
        <v>47</v>
      </c>
      <c r="I539" s="16">
        <v>3</v>
      </c>
      <c r="J539" s="16">
        <v>0</v>
      </c>
      <c r="K539" s="16">
        <f t="shared" si="10"/>
        <v>3</v>
      </c>
      <c r="L539" s="38">
        <v>50000000</v>
      </c>
      <c r="M539" s="17" t="s">
        <v>1518</v>
      </c>
      <c r="N539" s="67">
        <v>34</v>
      </c>
      <c r="O539" s="66" t="s">
        <v>1263</v>
      </c>
      <c r="P539" s="70">
        <v>272000000</v>
      </c>
      <c r="Q539" s="33" t="s">
        <v>50</v>
      </c>
      <c r="R539" s="67">
        <v>29</v>
      </c>
      <c r="S539" s="16" t="s">
        <v>51</v>
      </c>
      <c r="T539" s="30">
        <v>116000000</v>
      </c>
      <c r="U539" s="16" t="s">
        <v>22</v>
      </c>
      <c r="V539" s="20" t="s">
        <v>998</v>
      </c>
      <c r="W539" s="16">
        <v>15</v>
      </c>
      <c r="X539" s="16" t="s">
        <v>53</v>
      </c>
      <c r="Y539" s="16">
        <v>75</v>
      </c>
      <c r="Z539" s="16">
        <v>25</v>
      </c>
      <c r="AA539" s="16">
        <v>0</v>
      </c>
      <c r="AB539" s="16">
        <v>0</v>
      </c>
      <c r="AC539" s="16" t="s">
        <v>1563</v>
      </c>
      <c r="AD539" s="68"/>
      <c r="AE539" s="23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</row>
    <row r="540" spans="1:84" s="2" customFormat="1" x14ac:dyDescent="0.2">
      <c r="A540" s="17" t="s">
        <v>3921</v>
      </c>
      <c r="B540" s="17" t="s">
        <v>45</v>
      </c>
      <c r="C540" s="17">
        <v>2025</v>
      </c>
      <c r="D540" s="17" t="str">
        <f t="array" ref="D540">_xlfn.SWITCH(E540,"Bagor","35.18.14","Sukomoro",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540" s="16" t="s">
        <v>55</v>
      </c>
      <c r="F540" s="33" t="s">
        <v>1564</v>
      </c>
      <c r="G540" s="33" t="s">
        <v>1565</v>
      </c>
      <c r="H540" s="16" t="s">
        <v>47</v>
      </c>
      <c r="I540" s="16">
        <v>2</v>
      </c>
      <c r="J540" s="16">
        <v>0</v>
      </c>
      <c r="K540" s="16">
        <f t="shared" si="10"/>
        <v>2</v>
      </c>
      <c r="L540" s="38">
        <v>50000000</v>
      </c>
      <c r="M540" s="17" t="s">
        <v>1518</v>
      </c>
      <c r="N540" s="67">
        <v>30</v>
      </c>
      <c r="O540" s="66" t="s">
        <v>1263</v>
      </c>
      <c r="P540" s="70">
        <v>240000000</v>
      </c>
      <c r="Q540" s="33" t="s">
        <v>50</v>
      </c>
      <c r="R540" s="67">
        <v>26</v>
      </c>
      <c r="S540" s="16" t="s">
        <v>51</v>
      </c>
      <c r="T540" s="30">
        <v>91000000</v>
      </c>
      <c r="U540" s="16" t="s">
        <v>22</v>
      </c>
      <c r="V540" s="20" t="s">
        <v>998</v>
      </c>
      <c r="W540" s="16">
        <v>15</v>
      </c>
      <c r="X540" s="16" t="s">
        <v>53</v>
      </c>
      <c r="Y540" s="16">
        <v>25</v>
      </c>
      <c r="Z540" s="16">
        <v>35</v>
      </c>
      <c r="AA540" s="16">
        <v>40</v>
      </c>
      <c r="AB540" s="16">
        <v>0</v>
      </c>
      <c r="AC540" s="16" t="s">
        <v>1566</v>
      </c>
      <c r="AD540" s="68"/>
      <c r="AE540" s="23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</row>
    <row r="541" spans="1:84" s="2" customFormat="1" x14ac:dyDescent="0.2">
      <c r="A541" s="17" t="s">
        <v>3921</v>
      </c>
      <c r="B541" s="17" t="s">
        <v>45</v>
      </c>
      <c r="C541" s="17">
        <v>2025</v>
      </c>
      <c r="D541" s="17" t="str">
        <f t="array" ref="D541">_xlfn.SWITCH(E541,"Jatikalen","35.18.20","Kertosono", "35.18.08","Lengkong","35.18.19","Loceret","35.18.04","Tanjunganom","35.18.11","Wilangan","35.18.15")</f>
        <v>35.18.19</v>
      </c>
      <c r="E541" s="16" t="s">
        <v>64</v>
      </c>
      <c r="F541" s="33" t="s">
        <v>1567</v>
      </c>
      <c r="G541" s="33" t="s">
        <v>1568</v>
      </c>
      <c r="H541" s="16" t="s">
        <v>47</v>
      </c>
      <c r="I541" s="16">
        <v>12</v>
      </c>
      <c r="J541" s="16">
        <v>2</v>
      </c>
      <c r="K541" s="16">
        <f t="shared" si="10"/>
        <v>14</v>
      </c>
      <c r="L541" s="38">
        <v>50000000</v>
      </c>
      <c r="M541" s="17" t="s">
        <v>1518</v>
      </c>
      <c r="N541" s="67">
        <v>30</v>
      </c>
      <c r="O541" s="66" t="s">
        <v>1263</v>
      </c>
      <c r="P541" s="70">
        <v>270000000</v>
      </c>
      <c r="Q541" s="33" t="s">
        <v>50</v>
      </c>
      <c r="R541" s="67">
        <v>25</v>
      </c>
      <c r="S541" s="16" t="s">
        <v>51</v>
      </c>
      <c r="T541" s="30">
        <v>100000000</v>
      </c>
      <c r="U541" s="16" t="s">
        <v>22</v>
      </c>
      <c r="V541" s="20" t="s">
        <v>998</v>
      </c>
      <c r="W541" s="16">
        <v>18</v>
      </c>
      <c r="X541" s="16" t="s">
        <v>53</v>
      </c>
      <c r="Y541" s="16">
        <v>65</v>
      </c>
      <c r="Z541" s="16">
        <v>35</v>
      </c>
      <c r="AA541" s="16">
        <v>0</v>
      </c>
      <c r="AB541" s="16">
        <v>0</v>
      </c>
      <c r="AC541" s="16" t="s">
        <v>1569</v>
      </c>
      <c r="AD541" s="68"/>
      <c r="AE541" s="23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</row>
    <row r="542" spans="1:84" s="2" customFormat="1" x14ac:dyDescent="0.2">
      <c r="A542" s="17" t="s">
        <v>3921</v>
      </c>
      <c r="B542" s="17" t="s">
        <v>45</v>
      </c>
      <c r="C542" s="17">
        <v>2025</v>
      </c>
      <c r="D542" s="17" t="str">
        <f t="array" ref="D542">_xlfn.SWITCH(E542,"Jatikalen","35.18.20","Kertosono", "35.18.08","Lengkong","35.18.19","Loceret","35.18.04","Tanjunganom","35.18.11","Wilangan","35.18.15")</f>
        <v>35.18.04</v>
      </c>
      <c r="E542" s="16" t="s">
        <v>41</v>
      </c>
      <c r="F542" s="33" t="s">
        <v>1570</v>
      </c>
      <c r="G542" s="33" t="s">
        <v>1571</v>
      </c>
      <c r="H542" s="16" t="s">
        <v>47</v>
      </c>
      <c r="I542" s="16">
        <v>9</v>
      </c>
      <c r="J542" s="16">
        <v>2</v>
      </c>
      <c r="K542" s="16">
        <f t="shared" si="10"/>
        <v>11</v>
      </c>
      <c r="L542" s="38">
        <v>65000000</v>
      </c>
      <c r="M542" s="17" t="s">
        <v>180</v>
      </c>
      <c r="N542" s="67">
        <v>63408</v>
      </c>
      <c r="O542" s="66" t="s">
        <v>422</v>
      </c>
      <c r="P542" s="70">
        <v>317040000</v>
      </c>
      <c r="Q542" s="33" t="s">
        <v>159</v>
      </c>
      <c r="R542" s="67">
        <v>25000</v>
      </c>
      <c r="S542" s="16" t="s">
        <v>422</v>
      </c>
      <c r="T542" s="30">
        <v>175000000</v>
      </c>
      <c r="U542" s="16" t="s">
        <v>22</v>
      </c>
      <c r="V542" s="20" t="s">
        <v>57</v>
      </c>
      <c r="W542" s="16">
        <v>8500</v>
      </c>
      <c r="X542" s="16" t="s">
        <v>51</v>
      </c>
      <c r="Y542" s="16">
        <v>55</v>
      </c>
      <c r="Z542" s="16">
        <v>45</v>
      </c>
      <c r="AA542" s="16">
        <v>0</v>
      </c>
      <c r="AB542" s="16">
        <v>0</v>
      </c>
      <c r="AC542" s="16" t="s">
        <v>1572</v>
      </c>
      <c r="AD542" s="68"/>
      <c r="AE542" s="23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</row>
    <row r="543" spans="1:84" s="2" customFormat="1" x14ac:dyDescent="0.2">
      <c r="A543" s="17" t="s">
        <v>3921</v>
      </c>
      <c r="B543" s="17" t="s">
        <v>45</v>
      </c>
      <c r="C543" s="17">
        <v>2025</v>
      </c>
      <c r="D543" s="17" t="str">
        <f t="array" ref="D543">_xlfn.SWITCH(E543,"Bagor","35.18.14","Sukomoro",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543" s="16" t="s">
        <v>103</v>
      </c>
      <c r="F543" s="33" t="s">
        <v>1573</v>
      </c>
      <c r="G543" s="33" t="s">
        <v>1574</v>
      </c>
      <c r="H543" s="16"/>
      <c r="I543" s="16">
        <v>1</v>
      </c>
      <c r="J543" s="16">
        <v>6</v>
      </c>
      <c r="K543" s="16">
        <f t="shared" si="10"/>
        <v>7</v>
      </c>
      <c r="L543" s="38">
        <v>85000000</v>
      </c>
      <c r="M543" s="17" t="s">
        <v>32</v>
      </c>
      <c r="N543" s="67">
        <v>1000000</v>
      </c>
      <c r="O543" s="66" t="s">
        <v>1538</v>
      </c>
      <c r="P543" s="30">
        <v>250000000</v>
      </c>
      <c r="Q543" s="33" t="s">
        <v>34</v>
      </c>
      <c r="R543" s="67">
        <v>100</v>
      </c>
      <c r="S543" s="16" t="s">
        <v>422</v>
      </c>
      <c r="T543" s="30">
        <v>120000000</v>
      </c>
      <c r="U543" s="16" t="s">
        <v>22</v>
      </c>
      <c r="V543" s="16">
        <v>0</v>
      </c>
      <c r="W543" s="16">
        <v>0</v>
      </c>
      <c r="X543" s="16">
        <v>0</v>
      </c>
      <c r="Y543" s="16">
        <v>60</v>
      </c>
      <c r="Z543" s="16">
        <v>40</v>
      </c>
      <c r="AA543" s="16">
        <v>0</v>
      </c>
      <c r="AB543" s="16">
        <v>0</v>
      </c>
      <c r="AC543" s="16" t="s">
        <v>1575</v>
      </c>
      <c r="AD543" s="68"/>
      <c r="AE543" s="23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</row>
    <row r="544" spans="1:84" s="2" customFormat="1" x14ac:dyDescent="0.2">
      <c r="A544" s="17" t="s">
        <v>3921</v>
      </c>
      <c r="B544" s="17" t="s">
        <v>45</v>
      </c>
      <c r="C544" s="17">
        <v>2025</v>
      </c>
      <c r="D544" s="17" t="str">
        <f t="array" ref="D544">_xlfn.SWITCH(E544,"Jatikalen","35.18.20","Kertosono", "35.18.08","Lengkong","35.18.19","Loceret","35.18.04","Tanjunganom","35.18.11","Wilangan","35.18.15")</f>
        <v>35.18.11</v>
      </c>
      <c r="E544" s="16" t="s">
        <v>60</v>
      </c>
      <c r="F544" s="33" t="s">
        <v>1576</v>
      </c>
      <c r="G544" s="33" t="s">
        <v>1577</v>
      </c>
      <c r="H544" s="16" t="s">
        <v>47</v>
      </c>
      <c r="I544" s="16">
        <v>2</v>
      </c>
      <c r="J544" s="16">
        <v>3</v>
      </c>
      <c r="K544" s="16">
        <f t="shared" si="10"/>
        <v>5</v>
      </c>
      <c r="L544" s="38">
        <v>50000000</v>
      </c>
      <c r="M544" s="17" t="s">
        <v>1578</v>
      </c>
      <c r="N544" s="67">
        <v>30</v>
      </c>
      <c r="O544" s="66" t="s">
        <v>83</v>
      </c>
      <c r="P544" s="30">
        <v>60000000</v>
      </c>
      <c r="Q544" s="33" t="s">
        <v>50</v>
      </c>
      <c r="R544" s="67">
        <v>10</v>
      </c>
      <c r="S544" s="16" t="s">
        <v>83</v>
      </c>
      <c r="T544" s="30">
        <v>10000000</v>
      </c>
      <c r="U544" s="16" t="s">
        <v>22</v>
      </c>
      <c r="V544" s="20" t="s">
        <v>57</v>
      </c>
      <c r="W544" s="16">
        <v>26</v>
      </c>
      <c r="X544" s="16" t="s">
        <v>51</v>
      </c>
      <c r="Y544" s="16">
        <v>90</v>
      </c>
      <c r="Z544" s="16">
        <v>10</v>
      </c>
      <c r="AA544" s="16">
        <v>0</v>
      </c>
      <c r="AB544" s="16">
        <v>0</v>
      </c>
      <c r="AC544" s="16" t="s">
        <v>1579</v>
      </c>
      <c r="AD544" s="68"/>
      <c r="AE544" s="23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</row>
    <row r="545" spans="1:84" s="2" customFormat="1" ht="20" x14ac:dyDescent="0.2">
      <c r="A545" s="17" t="s">
        <v>3921</v>
      </c>
      <c r="B545" s="17" t="s">
        <v>45</v>
      </c>
      <c r="C545" s="17">
        <v>2025</v>
      </c>
      <c r="D545" s="17" t="str">
        <f t="array" ref="D545">_xlfn.SWITCH(E545,"Bagor","35.18.14","Sukomoro",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45" s="16" t="s">
        <v>45</v>
      </c>
      <c r="F545" s="33" t="s">
        <v>1580</v>
      </c>
      <c r="G545" s="33" t="s">
        <v>1581</v>
      </c>
      <c r="H545" s="16" t="s">
        <v>31</v>
      </c>
      <c r="I545" s="16">
        <v>3</v>
      </c>
      <c r="J545" s="16">
        <v>3</v>
      </c>
      <c r="K545" s="16">
        <f t="shared" si="10"/>
        <v>6</v>
      </c>
      <c r="L545" s="38">
        <v>50000000</v>
      </c>
      <c r="M545" s="17" t="s">
        <v>1429</v>
      </c>
      <c r="N545" s="67">
        <v>12</v>
      </c>
      <c r="O545" s="66" t="s">
        <v>83</v>
      </c>
      <c r="P545" s="30">
        <v>120000000</v>
      </c>
      <c r="Q545" s="33" t="s">
        <v>159</v>
      </c>
      <c r="R545" s="67">
        <v>5</v>
      </c>
      <c r="S545" s="16" t="s">
        <v>83</v>
      </c>
      <c r="T545" s="30">
        <v>35000000</v>
      </c>
      <c r="U545" s="16" t="s">
        <v>22</v>
      </c>
      <c r="V545" s="16">
        <v>0</v>
      </c>
      <c r="W545" s="16">
        <v>0</v>
      </c>
      <c r="X545" s="16">
        <v>0</v>
      </c>
      <c r="Y545" s="16">
        <v>40</v>
      </c>
      <c r="Z545" s="16">
        <v>30</v>
      </c>
      <c r="AA545" s="16">
        <v>30</v>
      </c>
      <c r="AB545" s="16">
        <v>0</v>
      </c>
      <c r="AC545" s="16" t="s">
        <v>1582</v>
      </c>
      <c r="AD545" s="68"/>
      <c r="AE545" s="23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</row>
    <row r="546" spans="1:84" s="2" customFormat="1" x14ac:dyDescent="0.2">
      <c r="A546" s="17" t="s">
        <v>3921</v>
      </c>
      <c r="B546" s="17" t="s">
        <v>45</v>
      </c>
      <c r="C546" s="17">
        <v>2025</v>
      </c>
      <c r="D546" s="17" t="str">
        <f t="array" ref="D546">_xlfn.SWITCH(E546,"Bagor","35.18.14","Sukomoro",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46" s="16" t="s">
        <v>92</v>
      </c>
      <c r="F546" s="33" t="s">
        <v>1583</v>
      </c>
      <c r="G546" s="33" t="s">
        <v>1584</v>
      </c>
      <c r="H546" s="16" t="s">
        <v>47</v>
      </c>
      <c r="I546" s="16">
        <v>4</v>
      </c>
      <c r="J546" s="16">
        <v>0</v>
      </c>
      <c r="K546" s="16">
        <f t="shared" si="10"/>
        <v>4</v>
      </c>
      <c r="L546" s="38">
        <v>190000000</v>
      </c>
      <c r="M546" s="17" t="s">
        <v>1518</v>
      </c>
      <c r="N546" s="67">
        <v>40</v>
      </c>
      <c r="O546" s="66" t="s">
        <v>51</v>
      </c>
      <c r="P546" s="30">
        <v>400000000</v>
      </c>
      <c r="Q546" s="33" t="s">
        <v>50</v>
      </c>
      <c r="R546" s="67">
        <v>45</v>
      </c>
      <c r="S546" s="16" t="s">
        <v>51</v>
      </c>
      <c r="T546" s="30">
        <v>202500000</v>
      </c>
      <c r="U546" s="16" t="s">
        <v>22</v>
      </c>
      <c r="V546" s="20" t="s">
        <v>998</v>
      </c>
      <c r="W546" s="16">
        <v>30</v>
      </c>
      <c r="X546" s="16" t="s">
        <v>53</v>
      </c>
      <c r="Y546" s="16">
        <v>100</v>
      </c>
      <c r="Z546" s="16">
        <v>0</v>
      </c>
      <c r="AA546" s="16">
        <v>0</v>
      </c>
      <c r="AB546" s="16">
        <v>0</v>
      </c>
      <c r="AC546" s="16" t="s">
        <v>1585</v>
      </c>
      <c r="AD546" s="68"/>
      <c r="AE546" s="23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</row>
    <row r="547" spans="1:84" s="2" customFormat="1" ht="20" x14ac:dyDescent="0.2">
      <c r="A547" s="17" t="s">
        <v>3921</v>
      </c>
      <c r="B547" s="17" t="s">
        <v>45</v>
      </c>
      <c r="C547" s="17">
        <v>2025</v>
      </c>
      <c r="D547" s="17" t="str">
        <f t="array" ref="D547">_xlfn.SWITCH(E547,"Jatikalen","35.18.20","Kertosono", "35.18.08","Lengkong","35.18.19","Loceret","35.18.04","Tanjunganom","35.18.11","Wilangan","35.18.15")</f>
        <v>35.18.19</v>
      </c>
      <c r="E547" s="16" t="s">
        <v>64</v>
      </c>
      <c r="F547" s="33" t="s">
        <v>1586</v>
      </c>
      <c r="G547" s="33" t="s">
        <v>1587</v>
      </c>
      <c r="H547" s="16" t="s">
        <v>47</v>
      </c>
      <c r="I547" s="16">
        <v>2</v>
      </c>
      <c r="J547" s="16">
        <v>0</v>
      </c>
      <c r="K547" s="16">
        <f t="shared" si="10"/>
        <v>2</v>
      </c>
      <c r="L547" s="38">
        <v>20000000</v>
      </c>
      <c r="M547" s="17" t="s">
        <v>1518</v>
      </c>
      <c r="N547" s="67">
        <v>3</v>
      </c>
      <c r="O547" s="66" t="s">
        <v>1263</v>
      </c>
      <c r="P547" s="30">
        <v>27000000</v>
      </c>
      <c r="Q547" s="33" t="s">
        <v>50</v>
      </c>
      <c r="R547" s="67">
        <v>4</v>
      </c>
      <c r="S547" s="16" t="s">
        <v>51</v>
      </c>
      <c r="T547" s="30">
        <v>16000000</v>
      </c>
      <c r="U547" s="16" t="s">
        <v>22</v>
      </c>
      <c r="V547" s="20" t="s">
        <v>998</v>
      </c>
      <c r="W547" s="16">
        <v>15</v>
      </c>
      <c r="X547" s="16" t="s">
        <v>53</v>
      </c>
      <c r="Y547" s="16">
        <v>80</v>
      </c>
      <c r="Z547" s="16">
        <v>20</v>
      </c>
      <c r="AA547" s="16">
        <v>0</v>
      </c>
      <c r="AB547" s="16">
        <v>0</v>
      </c>
      <c r="AC547" s="16" t="s">
        <v>1588</v>
      </c>
      <c r="AD547" s="68"/>
      <c r="AE547" s="23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</row>
    <row r="548" spans="1:84" s="2" customFormat="1" x14ac:dyDescent="0.2">
      <c r="A548" s="17" t="s">
        <v>3921</v>
      </c>
      <c r="B548" s="17" t="s">
        <v>45</v>
      </c>
      <c r="C548" s="17">
        <v>2025</v>
      </c>
      <c r="D548" s="17" t="str">
        <f t="array" ref="D548">_xlfn.SWITCH(E548,"Bagor","35.18.14","Sukomoro",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548" s="16" t="s">
        <v>188</v>
      </c>
      <c r="F548" s="33" t="s">
        <v>1589</v>
      </c>
      <c r="G548" s="33" t="s">
        <v>1590</v>
      </c>
      <c r="H548" s="16" t="s">
        <v>47</v>
      </c>
      <c r="I548" s="16">
        <v>2</v>
      </c>
      <c r="J548" s="16">
        <v>0</v>
      </c>
      <c r="K548" s="16">
        <f t="shared" si="10"/>
        <v>2</v>
      </c>
      <c r="L548" s="38">
        <v>10000000</v>
      </c>
      <c r="M548" s="17" t="s">
        <v>1518</v>
      </c>
      <c r="N548" s="67">
        <v>40</v>
      </c>
      <c r="O548" s="66" t="s">
        <v>1459</v>
      </c>
      <c r="P548" s="30">
        <v>320000000</v>
      </c>
      <c r="Q548" s="33" t="s">
        <v>50</v>
      </c>
      <c r="R548" s="67">
        <v>50</v>
      </c>
      <c r="S548" s="16" t="s">
        <v>51</v>
      </c>
      <c r="T548" s="30">
        <v>150000000</v>
      </c>
      <c r="U548" s="16" t="s">
        <v>22</v>
      </c>
      <c r="V548" s="20" t="s">
        <v>998</v>
      </c>
      <c r="W548" s="16">
        <v>40</v>
      </c>
      <c r="X548" s="16" t="s">
        <v>53</v>
      </c>
      <c r="Y548" s="16">
        <v>35</v>
      </c>
      <c r="Z548" s="16">
        <v>35</v>
      </c>
      <c r="AA548" s="16">
        <v>30</v>
      </c>
      <c r="AB548" s="16">
        <v>0</v>
      </c>
      <c r="AC548" s="16" t="s">
        <v>1591</v>
      </c>
      <c r="AD548" s="68"/>
      <c r="AE548" s="23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</row>
    <row r="549" spans="1:84" s="2" customFormat="1" ht="20" x14ac:dyDescent="0.2">
      <c r="A549" s="17" t="s">
        <v>3921</v>
      </c>
      <c r="B549" s="17" t="s">
        <v>45</v>
      </c>
      <c r="C549" s="17">
        <v>2025</v>
      </c>
      <c r="D549" s="17" t="str">
        <f t="array" ref="D549">_xlfn.SWITCH(E549,"Bagor","35.18.14","Sukomoro",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49" s="16" t="s">
        <v>124</v>
      </c>
      <c r="F549" s="33" t="s">
        <v>1592</v>
      </c>
      <c r="G549" s="33" t="s">
        <v>1593</v>
      </c>
      <c r="H549" s="16" t="s">
        <v>47</v>
      </c>
      <c r="I549" s="16">
        <v>2</v>
      </c>
      <c r="J549" s="16">
        <v>0</v>
      </c>
      <c r="K549" s="16">
        <f t="shared" si="10"/>
        <v>2</v>
      </c>
      <c r="L549" s="38">
        <v>30000000</v>
      </c>
      <c r="M549" s="17" t="s">
        <v>1518</v>
      </c>
      <c r="N549" s="67">
        <v>3</v>
      </c>
      <c r="O549" s="66" t="s">
        <v>1263</v>
      </c>
      <c r="P549" s="30">
        <v>24000000</v>
      </c>
      <c r="Q549" s="33" t="s">
        <v>50</v>
      </c>
      <c r="R549" s="67">
        <v>5</v>
      </c>
      <c r="S549" s="16" t="s">
        <v>51</v>
      </c>
      <c r="T549" s="30">
        <v>17500000</v>
      </c>
      <c r="U549" s="16" t="s">
        <v>22</v>
      </c>
      <c r="V549" s="20" t="s">
        <v>998</v>
      </c>
      <c r="W549" s="16">
        <v>20</v>
      </c>
      <c r="X549" s="16" t="s">
        <v>53</v>
      </c>
      <c r="Y549" s="16">
        <v>40</v>
      </c>
      <c r="Z549" s="16">
        <v>30</v>
      </c>
      <c r="AA549" s="16">
        <v>30</v>
      </c>
      <c r="AB549" s="16">
        <v>0</v>
      </c>
      <c r="AC549" s="16" t="s">
        <v>1594</v>
      </c>
      <c r="AD549" s="68"/>
      <c r="AE549" s="23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</row>
    <row r="550" spans="1:84" s="2" customFormat="1" ht="20" x14ac:dyDescent="0.2">
      <c r="A550" s="17" t="s">
        <v>3921</v>
      </c>
      <c r="B550" s="17" t="s">
        <v>45</v>
      </c>
      <c r="C550" s="17">
        <v>2025</v>
      </c>
      <c r="D550" s="17" t="str">
        <f t="array" ref="D550">_xlfn.SWITCH(E550,"Bagor","35.18.14","Sukomoro",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50" s="16" t="s">
        <v>124</v>
      </c>
      <c r="F550" s="33" t="s">
        <v>1595</v>
      </c>
      <c r="G550" s="33" t="s">
        <v>1596</v>
      </c>
      <c r="H550" s="16" t="s">
        <v>47</v>
      </c>
      <c r="I550" s="16">
        <v>3</v>
      </c>
      <c r="J550" s="16">
        <v>0</v>
      </c>
      <c r="K550" s="16">
        <f t="shared" si="10"/>
        <v>3</v>
      </c>
      <c r="L550" s="38">
        <v>50000000</v>
      </c>
      <c r="M550" s="17" t="s">
        <v>1518</v>
      </c>
      <c r="N550" s="67">
        <v>36</v>
      </c>
      <c r="O550" s="66" t="s">
        <v>51</v>
      </c>
      <c r="P550" s="30">
        <v>360000000</v>
      </c>
      <c r="Q550" s="33" t="s">
        <v>50</v>
      </c>
      <c r="R550" s="67">
        <v>41</v>
      </c>
      <c r="S550" s="16" t="s">
        <v>51</v>
      </c>
      <c r="T550" s="30">
        <v>184500000</v>
      </c>
      <c r="U550" s="16" t="s">
        <v>22</v>
      </c>
      <c r="V550" s="20" t="s">
        <v>998</v>
      </c>
      <c r="W550" s="16">
        <v>25</v>
      </c>
      <c r="X550" s="16" t="s">
        <v>53</v>
      </c>
      <c r="Y550" s="16">
        <v>50</v>
      </c>
      <c r="Z550" s="16">
        <v>30</v>
      </c>
      <c r="AA550" s="16">
        <v>20</v>
      </c>
      <c r="AB550" s="16">
        <v>0</v>
      </c>
      <c r="AC550" s="16" t="s">
        <v>1597</v>
      </c>
      <c r="AD550" s="68"/>
      <c r="AE550" s="23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</row>
    <row r="551" spans="1:84" s="2" customFormat="1" ht="20" x14ac:dyDescent="0.2">
      <c r="A551" s="17" t="s">
        <v>3921</v>
      </c>
      <c r="B551" s="17" t="s">
        <v>45</v>
      </c>
      <c r="C551" s="17">
        <v>2025</v>
      </c>
      <c r="D551" s="17" t="str">
        <f t="array" ref="D551">_xlfn.SWITCH(E551,"Bagor","35.18.14","Sukomoro",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51" s="16" t="s">
        <v>140</v>
      </c>
      <c r="F551" s="33" t="s">
        <v>1598</v>
      </c>
      <c r="G551" s="33" t="s">
        <v>1599</v>
      </c>
      <c r="H551" s="16" t="s">
        <v>31</v>
      </c>
      <c r="I551" s="16">
        <v>7</v>
      </c>
      <c r="J551" s="16">
        <v>2</v>
      </c>
      <c r="K551" s="16">
        <f t="shared" si="10"/>
        <v>9</v>
      </c>
      <c r="L551" s="38">
        <v>55000000</v>
      </c>
      <c r="M551" s="17" t="s">
        <v>180</v>
      </c>
      <c r="N551" s="67">
        <v>51000</v>
      </c>
      <c r="O551" s="66" t="s">
        <v>422</v>
      </c>
      <c r="P551" s="30">
        <v>255000000</v>
      </c>
      <c r="Q551" s="33" t="s">
        <v>159</v>
      </c>
      <c r="R551" s="67">
        <v>15000</v>
      </c>
      <c r="S551" s="16" t="s">
        <v>422</v>
      </c>
      <c r="T551" s="30">
        <v>105000000</v>
      </c>
      <c r="U551" s="16" t="s">
        <v>22</v>
      </c>
      <c r="V551" s="20" t="s">
        <v>57</v>
      </c>
      <c r="W551" s="16">
        <v>6400</v>
      </c>
      <c r="X551" s="16" t="s">
        <v>51</v>
      </c>
      <c r="Y551" s="16">
        <v>70</v>
      </c>
      <c r="Z551" s="16">
        <v>30</v>
      </c>
      <c r="AA551" s="16">
        <v>0</v>
      </c>
      <c r="AB551" s="16">
        <v>0</v>
      </c>
      <c r="AC551" s="16"/>
      <c r="AD551" s="68"/>
      <c r="AE551" s="23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</row>
    <row r="552" spans="1:84" s="2" customFormat="1" ht="20" x14ac:dyDescent="0.2">
      <c r="A552" s="17" t="s">
        <v>3921</v>
      </c>
      <c r="B552" s="17" t="s">
        <v>45</v>
      </c>
      <c r="C552" s="17">
        <v>2025</v>
      </c>
      <c r="D552" s="17" t="str">
        <f t="array" ref="D552">_xlfn.SWITCH(E552,"Bagor","35.18.14","Sukomoro",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52" s="16" t="s">
        <v>140</v>
      </c>
      <c r="F552" s="33" t="s">
        <v>1598</v>
      </c>
      <c r="G552" s="33" t="s">
        <v>1600</v>
      </c>
      <c r="H552" s="16" t="s">
        <v>31</v>
      </c>
      <c r="I552" s="16">
        <v>4</v>
      </c>
      <c r="J552" s="16">
        <v>2</v>
      </c>
      <c r="K552" s="16">
        <f t="shared" si="10"/>
        <v>6</v>
      </c>
      <c r="L552" s="38">
        <v>15000000</v>
      </c>
      <c r="M552" s="33" t="s">
        <v>1478</v>
      </c>
      <c r="N552" s="67">
        <v>11500</v>
      </c>
      <c r="O552" s="66" t="s">
        <v>35</v>
      </c>
      <c r="P552" s="30">
        <v>29900000</v>
      </c>
      <c r="Q552" s="33" t="s">
        <v>1601</v>
      </c>
      <c r="R552" s="67">
        <v>1000</v>
      </c>
      <c r="S552" s="16" t="s">
        <v>35</v>
      </c>
      <c r="T552" s="30">
        <v>10000000</v>
      </c>
      <c r="U552" s="16" t="s">
        <v>22</v>
      </c>
      <c r="V552" s="16">
        <v>0</v>
      </c>
      <c r="W552" s="16">
        <v>0</v>
      </c>
      <c r="X552" s="16">
        <v>0</v>
      </c>
      <c r="Y552" s="16">
        <v>90</v>
      </c>
      <c r="Z552" s="16">
        <v>10</v>
      </c>
      <c r="AA552" s="16">
        <v>0</v>
      </c>
      <c r="AB552" s="16">
        <v>0</v>
      </c>
      <c r="AC552" s="16"/>
      <c r="AD552" s="68"/>
      <c r="AE552" s="23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</row>
    <row r="553" spans="1:84" s="2" customFormat="1" ht="20" x14ac:dyDescent="0.2">
      <c r="A553" s="17" t="s">
        <v>3921</v>
      </c>
      <c r="B553" s="17" t="s">
        <v>45</v>
      </c>
      <c r="C553" s="17">
        <v>2025</v>
      </c>
      <c r="D553" s="17" t="str">
        <f t="array" ref="D553">_xlfn.SWITCH(E553,"Bagor","35.18.14","Sukomoro",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53" s="16" t="s">
        <v>140</v>
      </c>
      <c r="F553" s="33" t="s">
        <v>1602</v>
      </c>
      <c r="G553" s="33" t="s">
        <v>1603</v>
      </c>
      <c r="H553" s="16" t="s">
        <v>31</v>
      </c>
      <c r="I553" s="16">
        <v>2</v>
      </c>
      <c r="J553" s="16">
        <v>8</v>
      </c>
      <c r="K553" s="16">
        <f t="shared" si="10"/>
        <v>10</v>
      </c>
      <c r="L553" s="38">
        <v>35000000</v>
      </c>
      <c r="M553" s="33" t="s">
        <v>1412</v>
      </c>
      <c r="N553" s="67">
        <v>2110</v>
      </c>
      <c r="O553" s="66" t="s">
        <v>1130</v>
      </c>
      <c r="P553" s="30">
        <v>3165000</v>
      </c>
      <c r="Q553" s="33" t="s">
        <v>1604</v>
      </c>
      <c r="R553" s="67">
        <v>2110</v>
      </c>
      <c r="S553" s="16" t="s">
        <v>1130</v>
      </c>
      <c r="T553" s="30">
        <v>1266000</v>
      </c>
      <c r="U553" s="16" t="s">
        <v>22</v>
      </c>
      <c r="V553" s="16">
        <v>0</v>
      </c>
      <c r="W553" s="16">
        <v>0</v>
      </c>
      <c r="X553" s="16">
        <v>0</v>
      </c>
      <c r="Y553" s="16">
        <v>80</v>
      </c>
      <c r="Z553" s="16">
        <v>20</v>
      </c>
      <c r="AA553" s="16">
        <v>0</v>
      </c>
      <c r="AB553" s="16">
        <v>0</v>
      </c>
      <c r="AC553" s="16"/>
      <c r="AD553" s="68"/>
      <c r="AE553" s="23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</row>
    <row r="554" spans="1:84" s="2" customFormat="1" x14ac:dyDescent="0.2">
      <c r="A554" s="17" t="s">
        <v>3921</v>
      </c>
      <c r="B554" s="17" t="s">
        <v>45</v>
      </c>
      <c r="C554" s="17">
        <v>2025</v>
      </c>
      <c r="D554" s="17" t="str">
        <f t="array" ref="D554">_xlfn.SWITCH(E554,"Jatikalen","35.18.20","Kertosono", "35.18.08","Lengkong","35.18.19","Loceret","35.18.04","Tanjunganom","35.18.11","Wilangan","35.18.15")</f>
        <v>35.18.19</v>
      </c>
      <c r="E554" s="16" t="s">
        <v>64</v>
      </c>
      <c r="F554" s="33" t="s">
        <v>1605</v>
      </c>
      <c r="G554" s="33" t="s">
        <v>1606</v>
      </c>
      <c r="H554" s="16" t="s">
        <v>31</v>
      </c>
      <c r="I554" s="16">
        <v>2</v>
      </c>
      <c r="J554" s="16">
        <v>2</v>
      </c>
      <c r="K554" s="16">
        <f t="shared" si="10"/>
        <v>4</v>
      </c>
      <c r="L554" s="38">
        <v>10000000</v>
      </c>
      <c r="M554" s="17" t="s">
        <v>1607</v>
      </c>
      <c r="N554" s="67">
        <v>750</v>
      </c>
      <c r="O554" s="66" t="s">
        <v>422</v>
      </c>
      <c r="P554" s="30">
        <v>15000000</v>
      </c>
      <c r="Q554" s="33" t="s">
        <v>1608</v>
      </c>
      <c r="R554" s="67">
        <v>850</v>
      </c>
      <c r="S554" s="16" t="s">
        <v>422</v>
      </c>
      <c r="T554" s="30">
        <v>5100000</v>
      </c>
      <c r="U554" s="16" t="s">
        <v>22</v>
      </c>
      <c r="V554" s="16">
        <v>0</v>
      </c>
      <c r="W554" s="16">
        <v>0</v>
      </c>
      <c r="X554" s="16">
        <v>0</v>
      </c>
      <c r="Y554" s="16">
        <v>80</v>
      </c>
      <c r="Z554" s="16">
        <v>20</v>
      </c>
      <c r="AA554" s="16">
        <v>0</v>
      </c>
      <c r="AB554" s="16">
        <v>0</v>
      </c>
      <c r="AC554" s="16"/>
      <c r="AD554" s="68"/>
      <c r="AE554" s="23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</row>
    <row r="555" spans="1:84" s="2" customFormat="1" x14ac:dyDescent="0.2">
      <c r="A555" s="17" t="s">
        <v>3921</v>
      </c>
      <c r="B555" s="17" t="s">
        <v>45</v>
      </c>
      <c r="C555" s="17">
        <v>2025</v>
      </c>
      <c r="D555" s="17" t="str">
        <f t="array" ref="D555">_xlfn.SWITCH(E555,"Jatikalen","35.18.20","Kertosono", "35.18.08","Lengkong","35.18.19","Loceret","35.18.04","Tanjunganom","35.18.11","Wilangan","35.18.15")</f>
        <v>35.18.19</v>
      </c>
      <c r="E555" s="16" t="s">
        <v>64</v>
      </c>
      <c r="F555" s="33" t="s">
        <v>1609</v>
      </c>
      <c r="G555" s="33" t="s">
        <v>1610</v>
      </c>
      <c r="H555" s="16" t="s">
        <v>31</v>
      </c>
      <c r="I555" s="16">
        <v>5</v>
      </c>
      <c r="J555" s="16">
        <v>8</v>
      </c>
      <c r="K555" s="16">
        <f t="shared" si="10"/>
        <v>13</v>
      </c>
      <c r="L555" s="38">
        <v>170000000</v>
      </c>
      <c r="M555" s="17" t="s">
        <v>904</v>
      </c>
      <c r="N555" s="67">
        <v>2000</v>
      </c>
      <c r="O555" s="66" t="s">
        <v>422</v>
      </c>
      <c r="P555" s="30">
        <v>290000000</v>
      </c>
      <c r="Q555" s="33" t="s">
        <v>159</v>
      </c>
      <c r="R555" s="67">
        <v>2100</v>
      </c>
      <c r="S555" s="16" t="s">
        <v>422</v>
      </c>
      <c r="T555" s="30">
        <v>147000000</v>
      </c>
      <c r="U555" s="16" t="s">
        <v>22</v>
      </c>
      <c r="V555" s="16">
        <v>0</v>
      </c>
      <c r="W555" s="16">
        <v>0</v>
      </c>
      <c r="X555" s="16">
        <v>0</v>
      </c>
      <c r="Y555" s="16">
        <v>80</v>
      </c>
      <c r="Z555" s="16">
        <v>20</v>
      </c>
      <c r="AA555" s="16">
        <v>0</v>
      </c>
      <c r="AB555" s="16">
        <v>0</v>
      </c>
      <c r="AC555" s="16"/>
      <c r="AD555" s="68"/>
      <c r="AE555" s="23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</row>
    <row r="556" spans="1:84" s="2" customFormat="1" x14ac:dyDescent="0.2">
      <c r="A556" s="17" t="s">
        <v>3921</v>
      </c>
      <c r="B556" s="17" t="s">
        <v>45</v>
      </c>
      <c r="C556" s="17">
        <v>2025</v>
      </c>
      <c r="D556" s="17" t="str">
        <f t="array" ref="D556">_xlfn.SWITCH(E556,"Bagor","35.18.14","Sukomoro",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56" s="16" t="s">
        <v>157</v>
      </c>
      <c r="F556" s="33" t="s">
        <v>1611</v>
      </c>
      <c r="G556" s="33" t="s">
        <v>1612</v>
      </c>
      <c r="H556" s="16" t="s">
        <v>31</v>
      </c>
      <c r="I556" s="16">
        <v>21</v>
      </c>
      <c r="J556" s="16">
        <v>15</v>
      </c>
      <c r="K556" s="16">
        <f t="shared" si="10"/>
        <v>36</v>
      </c>
      <c r="L556" s="38">
        <v>51000000</v>
      </c>
      <c r="M556" s="17" t="s">
        <v>1518</v>
      </c>
      <c r="N556" s="67">
        <v>400</v>
      </c>
      <c r="O556" s="66" t="s">
        <v>1459</v>
      </c>
      <c r="P556" s="30">
        <v>105000000</v>
      </c>
      <c r="Q556" s="33" t="s">
        <v>57</v>
      </c>
      <c r="R556" s="67">
        <v>300</v>
      </c>
      <c r="S556" s="16" t="s">
        <v>51</v>
      </c>
      <c r="T556" s="30">
        <v>45000000</v>
      </c>
      <c r="U556" s="16" t="s">
        <v>22</v>
      </c>
      <c r="V556" s="20" t="s">
        <v>998</v>
      </c>
      <c r="W556" s="16">
        <v>150</v>
      </c>
      <c r="X556" s="16" t="s">
        <v>53</v>
      </c>
      <c r="Y556" s="16">
        <v>80</v>
      </c>
      <c r="Z556" s="16">
        <v>20</v>
      </c>
      <c r="AA556" s="16">
        <v>0</v>
      </c>
      <c r="AB556" s="16">
        <v>0</v>
      </c>
      <c r="AC556" s="16"/>
      <c r="AD556" s="68"/>
      <c r="AE556" s="23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</row>
    <row r="557" spans="1:84" s="2" customFormat="1" ht="20" x14ac:dyDescent="0.2">
      <c r="A557" s="17" t="s">
        <v>3921</v>
      </c>
      <c r="B557" s="17" t="s">
        <v>45</v>
      </c>
      <c r="C557" s="17">
        <v>2025</v>
      </c>
      <c r="D557" s="17" t="str">
        <f t="array" ref="D557">_xlfn.SWITCH(E557,"Bagor","35.18.14","Sukomoro",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557" s="16" t="s">
        <v>55</v>
      </c>
      <c r="F557" s="33" t="s">
        <v>1613</v>
      </c>
      <c r="G557" s="33" t="s">
        <v>1614</v>
      </c>
      <c r="H557" s="16" t="s">
        <v>31</v>
      </c>
      <c r="I557" s="16">
        <v>5</v>
      </c>
      <c r="J557" s="16">
        <v>0</v>
      </c>
      <c r="K557" s="16">
        <f t="shared" si="10"/>
        <v>5</v>
      </c>
      <c r="L557" s="38">
        <v>55000000</v>
      </c>
      <c r="M557" s="17" t="s">
        <v>1615</v>
      </c>
      <c r="N557" s="67">
        <v>700</v>
      </c>
      <c r="O557" s="66" t="s">
        <v>229</v>
      </c>
      <c r="P557" s="70">
        <v>49000000</v>
      </c>
      <c r="Q557" s="33" t="s">
        <v>1616</v>
      </c>
      <c r="R557" s="38">
        <v>250</v>
      </c>
      <c r="S557" s="16" t="s">
        <v>505</v>
      </c>
      <c r="T557" s="30">
        <v>14500000</v>
      </c>
      <c r="U557" s="16" t="s">
        <v>22</v>
      </c>
      <c r="V557" s="16">
        <v>0</v>
      </c>
      <c r="W557" s="16">
        <v>0</v>
      </c>
      <c r="X557" s="16">
        <v>0</v>
      </c>
      <c r="Y557" s="16">
        <v>90</v>
      </c>
      <c r="Z557" s="16">
        <v>10</v>
      </c>
      <c r="AA557" s="16">
        <v>0</v>
      </c>
      <c r="AB557" s="16">
        <v>0</v>
      </c>
      <c r="AC557" s="16"/>
      <c r="AD557" s="68"/>
      <c r="AE557" s="23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</row>
    <row r="558" spans="1:84" s="2" customFormat="1" x14ac:dyDescent="0.2">
      <c r="A558" s="17" t="s">
        <v>3921</v>
      </c>
      <c r="B558" s="17" t="s">
        <v>45</v>
      </c>
      <c r="C558" s="17">
        <v>2025</v>
      </c>
      <c r="D558" s="17" t="str">
        <f t="array" ref="D558">_xlfn.SWITCH(E558,"Bagor","35.18.14","Sukomoro",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558" s="16" t="s">
        <v>188</v>
      </c>
      <c r="F558" s="33" t="s">
        <v>1617</v>
      </c>
      <c r="G558" s="33" t="s">
        <v>1618</v>
      </c>
      <c r="H558" s="16" t="s">
        <v>31</v>
      </c>
      <c r="I558" s="16">
        <v>1</v>
      </c>
      <c r="J558" s="16">
        <v>1</v>
      </c>
      <c r="K558" s="16">
        <f t="shared" si="10"/>
        <v>2</v>
      </c>
      <c r="L558" s="38">
        <v>15000000</v>
      </c>
      <c r="M558" s="17" t="s">
        <v>1619</v>
      </c>
      <c r="N558" s="67">
        <v>3</v>
      </c>
      <c r="O558" s="66" t="s">
        <v>962</v>
      </c>
      <c r="P558" s="70">
        <v>27000000</v>
      </c>
      <c r="Q558" s="33" t="s">
        <v>1620</v>
      </c>
      <c r="R558" s="38" t="s">
        <v>1621</v>
      </c>
      <c r="S558" s="16" t="s">
        <v>962</v>
      </c>
      <c r="T558" s="30">
        <v>6250000</v>
      </c>
      <c r="U558" s="16" t="s">
        <v>22</v>
      </c>
      <c r="V558" s="16">
        <v>0</v>
      </c>
      <c r="W558" s="16">
        <v>0</v>
      </c>
      <c r="X558" s="16">
        <v>0</v>
      </c>
      <c r="Y558" s="16">
        <v>70</v>
      </c>
      <c r="Z558" s="16">
        <v>30</v>
      </c>
      <c r="AA558" s="16">
        <v>0</v>
      </c>
      <c r="AB558" s="16">
        <v>0</v>
      </c>
      <c r="AC558" s="16" t="s">
        <v>1622</v>
      </c>
      <c r="AD558" s="68"/>
      <c r="AE558" s="23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</row>
    <row r="559" spans="1:84" s="2" customFormat="1" x14ac:dyDescent="0.2">
      <c r="A559" s="17" t="s">
        <v>3921</v>
      </c>
      <c r="B559" s="17" t="s">
        <v>45</v>
      </c>
      <c r="C559" s="17">
        <v>2025</v>
      </c>
      <c r="D559" s="17" t="str">
        <f t="array" ref="D559">_xlfn.SWITCH(E559,"Bagor","35.18.14","Sukomoro",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59" s="16" t="s">
        <v>157</v>
      </c>
      <c r="F559" s="33" t="s">
        <v>1558</v>
      </c>
      <c r="G559" s="33" t="s">
        <v>1623</v>
      </c>
      <c r="H559" s="16" t="s">
        <v>47</v>
      </c>
      <c r="I559" s="16">
        <v>1</v>
      </c>
      <c r="J559" s="16">
        <v>1</v>
      </c>
      <c r="K559" s="16">
        <f t="shared" si="10"/>
        <v>2</v>
      </c>
      <c r="L559" s="38">
        <v>10000000</v>
      </c>
      <c r="M559" s="17" t="s">
        <v>1619</v>
      </c>
      <c r="N559" s="67">
        <v>5000</v>
      </c>
      <c r="O559" s="66" t="s">
        <v>422</v>
      </c>
      <c r="P559" s="70">
        <v>45000000</v>
      </c>
      <c r="Q559" s="33" t="s">
        <v>1620</v>
      </c>
      <c r="R559" s="38">
        <v>3500</v>
      </c>
      <c r="S559" s="16" t="s">
        <v>422</v>
      </c>
      <c r="T559" s="30">
        <v>8750000</v>
      </c>
      <c r="U559" s="16" t="s">
        <v>22</v>
      </c>
      <c r="V559" s="16">
        <v>0</v>
      </c>
      <c r="W559" s="16">
        <v>0</v>
      </c>
      <c r="X559" s="16">
        <v>0</v>
      </c>
      <c r="Y559" s="16">
        <v>60</v>
      </c>
      <c r="Z559" s="16">
        <v>40</v>
      </c>
      <c r="AA559" s="16">
        <v>0</v>
      </c>
      <c r="AB559" s="16">
        <v>0</v>
      </c>
      <c r="AC559" s="16"/>
      <c r="AD559" s="68"/>
      <c r="AE559" s="23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</row>
    <row r="560" spans="1:84" s="2" customFormat="1" x14ac:dyDescent="0.2">
      <c r="A560" s="17" t="s">
        <v>3921</v>
      </c>
      <c r="B560" s="17" t="s">
        <v>45</v>
      </c>
      <c r="C560" s="17">
        <v>2025</v>
      </c>
      <c r="D560" s="17" t="str">
        <f t="array" ref="D560">_xlfn.SWITCH(E560,"Bagor","35.18.14","Sukomoro",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60" s="16" t="s">
        <v>71</v>
      </c>
      <c r="F560" s="33" t="s">
        <v>1624</v>
      </c>
      <c r="G560" s="33" t="s">
        <v>1625</v>
      </c>
      <c r="H560" s="16" t="s">
        <v>31</v>
      </c>
      <c r="I560" s="16">
        <v>3</v>
      </c>
      <c r="J560" s="16">
        <v>4</v>
      </c>
      <c r="K560" s="16">
        <f t="shared" si="10"/>
        <v>7</v>
      </c>
      <c r="L560" s="38">
        <v>41000000</v>
      </c>
      <c r="M560" s="17" t="s">
        <v>180</v>
      </c>
      <c r="N560" s="67">
        <v>80</v>
      </c>
      <c r="O560" s="66" t="s">
        <v>1238</v>
      </c>
      <c r="P560" s="70">
        <v>72000000</v>
      </c>
      <c r="Q560" s="33" t="s">
        <v>1626</v>
      </c>
      <c r="R560" s="67">
        <v>35</v>
      </c>
      <c r="S560" s="16" t="s">
        <v>962</v>
      </c>
      <c r="T560" s="30">
        <v>31500000</v>
      </c>
      <c r="U560" s="16" t="s">
        <v>22</v>
      </c>
      <c r="V560" s="20" t="s">
        <v>50</v>
      </c>
      <c r="W560" s="16">
        <v>60</v>
      </c>
      <c r="X560" s="16" t="s">
        <v>51</v>
      </c>
      <c r="Y560" s="16">
        <v>90</v>
      </c>
      <c r="Z560" s="16">
        <v>10</v>
      </c>
      <c r="AA560" s="16">
        <v>0</v>
      </c>
      <c r="AB560" s="16">
        <v>0</v>
      </c>
      <c r="AC560" s="16"/>
      <c r="AD560" s="68"/>
      <c r="AE560" s="23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</row>
    <row r="561" spans="1:84" s="2" customFormat="1" ht="20" x14ac:dyDescent="0.2">
      <c r="A561" s="17" t="s">
        <v>3921</v>
      </c>
      <c r="B561" s="17" t="s">
        <v>45</v>
      </c>
      <c r="C561" s="17">
        <v>2025</v>
      </c>
      <c r="D561" s="17" t="str">
        <f t="array" ref="D561">_xlfn.SWITCH(E561,"Jatikalen","35.18.20","Kertosono", "35.18.08","Lengkong","35.18.19","Loceret","35.18.04","Tanjunganom","35.18.11","Wilangan","35.18.15")</f>
        <v>35.18.04</v>
      </c>
      <c r="E561" s="16" t="s">
        <v>41</v>
      </c>
      <c r="F561" s="33" t="s">
        <v>1627</v>
      </c>
      <c r="G561" s="33" t="s">
        <v>1628</v>
      </c>
      <c r="H561" s="16" t="s">
        <v>31</v>
      </c>
      <c r="I561" s="16">
        <v>3</v>
      </c>
      <c r="J561" s="16">
        <v>4</v>
      </c>
      <c r="K561" s="16">
        <f t="shared" si="10"/>
        <v>7</v>
      </c>
      <c r="L561" s="38">
        <v>29150000</v>
      </c>
      <c r="M561" s="17" t="s">
        <v>1629</v>
      </c>
      <c r="N561" s="67">
        <v>1050</v>
      </c>
      <c r="O561" s="66" t="s">
        <v>1630</v>
      </c>
      <c r="P561" s="70">
        <v>52500000</v>
      </c>
      <c r="Q561" s="33" t="s">
        <v>1631</v>
      </c>
      <c r="R561" s="67">
        <v>3600</v>
      </c>
      <c r="S561" s="16" t="s">
        <v>962</v>
      </c>
      <c r="T561" s="30">
        <v>23400000</v>
      </c>
      <c r="U561" s="16" t="s">
        <v>22</v>
      </c>
      <c r="V561" s="20">
        <v>0</v>
      </c>
      <c r="W561" s="16">
        <v>0</v>
      </c>
      <c r="X561" s="16">
        <v>0</v>
      </c>
      <c r="Y561" s="16">
        <v>80</v>
      </c>
      <c r="Z561" s="16">
        <v>20</v>
      </c>
      <c r="AA561" s="16">
        <v>0</v>
      </c>
      <c r="AB561" s="16">
        <v>0</v>
      </c>
      <c r="AC561" s="16"/>
      <c r="AD561" s="68"/>
      <c r="AE561" s="23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</row>
    <row r="562" spans="1:84" s="2" customFormat="1" ht="20" x14ac:dyDescent="0.2">
      <c r="A562" s="17" t="s">
        <v>3921</v>
      </c>
      <c r="B562" s="17" t="s">
        <v>45</v>
      </c>
      <c r="C562" s="17">
        <v>2025</v>
      </c>
      <c r="D562" s="17" t="str">
        <f t="array" ref="D562">_xlfn.SWITCH(E562,"Bagor","35.18.14","Sukomoro",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62" s="16" t="s">
        <v>71</v>
      </c>
      <c r="F562" s="33" t="s">
        <v>1632</v>
      </c>
      <c r="G562" s="33" t="s">
        <v>1633</v>
      </c>
      <c r="H562" s="16" t="s">
        <v>31</v>
      </c>
      <c r="I562" s="16">
        <v>6</v>
      </c>
      <c r="J562" s="16">
        <v>4</v>
      </c>
      <c r="K562" s="16">
        <f t="shared" si="10"/>
        <v>10</v>
      </c>
      <c r="L562" s="38">
        <v>48500000</v>
      </c>
      <c r="M562" s="17" t="s">
        <v>1634</v>
      </c>
      <c r="N562" s="67">
        <v>4000</v>
      </c>
      <c r="O562" s="66" t="s">
        <v>143</v>
      </c>
      <c r="P562" s="70">
        <f>N562*25000</f>
        <v>100000000</v>
      </c>
      <c r="Q562" s="33" t="s">
        <v>1635</v>
      </c>
      <c r="R562" s="67">
        <v>400</v>
      </c>
      <c r="S562" s="16" t="s">
        <v>422</v>
      </c>
      <c r="T562" s="30">
        <f>R562*5000</f>
        <v>2000000</v>
      </c>
      <c r="U562" s="16" t="s">
        <v>22</v>
      </c>
      <c r="V562" s="20" t="s">
        <v>57</v>
      </c>
      <c r="W562" s="16">
        <v>200</v>
      </c>
      <c r="X562" s="16" t="s">
        <v>69</v>
      </c>
      <c r="Y562" s="16">
        <v>80</v>
      </c>
      <c r="Z562" s="16">
        <v>20</v>
      </c>
      <c r="AA562" s="16">
        <v>0</v>
      </c>
      <c r="AB562" s="16">
        <v>0</v>
      </c>
      <c r="AC562" s="16"/>
      <c r="AD562" s="68"/>
      <c r="AE562" s="23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</row>
    <row r="563" spans="1:84" s="2" customFormat="1" x14ac:dyDescent="0.2">
      <c r="A563" s="17" t="s">
        <v>3921</v>
      </c>
      <c r="B563" s="17" t="s">
        <v>45</v>
      </c>
      <c r="C563" s="17">
        <v>2025</v>
      </c>
      <c r="D563" s="17" t="str">
        <f t="array" ref="D563">_xlfn.SWITCH(E563,"Jatikalen","35.18.20","Kertosono", "35.18.08","Lengkong","35.18.19","Loceret","35.18.04","Tanjunganom","35.18.11","Wilangan","35.18.15")</f>
        <v>35.18.04</v>
      </c>
      <c r="E563" s="16" t="s">
        <v>41</v>
      </c>
      <c r="F563" s="33" t="s">
        <v>1636</v>
      </c>
      <c r="G563" s="33" t="s">
        <v>1637</v>
      </c>
      <c r="H563" s="16" t="s">
        <v>31</v>
      </c>
      <c r="I563" s="16">
        <v>2</v>
      </c>
      <c r="J563" s="16">
        <v>3</v>
      </c>
      <c r="K563" s="16">
        <f t="shared" si="10"/>
        <v>5</v>
      </c>
      <c r="L563" s="38">
        <v>19350000</v>
      </c>
      <c r="M563" s="17" t="s">
        <v>1638</v>
      </c>
      <c r="N563" s="67">
        <v>1240</v>
      </c>
      <c r="O563" s="66" t="s">
        <v>1420</v>
      </c>
      <c r="P563" s="30">
        <v>43400000</v>
      </c>
      <c r="Q563" s="33" t="s">
        <v>1639</v>
      </c>
      <c r="R563" s="67">
        <v>750</v>
      </c>
      <c r="S563" s="16" t="s">
        <v>422</v>
      </c>
      <c r="T563" s="30">
        <v>11250000</v>
      </c>
      <c r="U563" s="16" t="s">
        <v>22</v>
      </c>
      <c r="V563" s="20">
        <v>0</v>
      </c>
      <c r="W563" s="16">
        <v>0</v>
      </c>
      <c r="X563" s="16">
        <v>0</v>
      </c>
      <c r="Y563" s="16">
        <v>75</v>
      </c>
      <c r="Z563" s="16">
        <v>25</v>
      </c>
      <c r="AA563" s="16">
        <v>0</v>
      </c>
      <c r="AB563" s="16">
        <v>0</v>
      </c>
      <c r="AC563" s="16"/>
      <c r="AD563" s="68"/>
      <c r="AE563" s="23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</row>
    <row r="564" spans="1:84" s="2" customFormat="1" x14ac:dyDescent="0.2">
      <c r="A564" s="17" t="s">
        <v>3921</v>
      </c>
      <c r="B564" s="17" t="s">
        <v>45</v>
      </c>
      <c r="C564" s="17">
        <v>2025</v>
      </c>
      <c r="D564" s="17" t="str">
        <f t="array" ref="D564">_xlfn.SWITCH(E564,"Bagor","35.18.14","Sukomoro",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64" s="16" t="s">
        <v>29</v>
      </c>
      <c r="F564" s="33" t="s">
        <v>1640</v>
      </c>
      <c r="G564" s="33" t="s">
        <v>1641</v>
      </c>
      <c r="H564" s="16" t="s">
        <v>31</v>
      </c>
      <c r="I564" s="16">
        <v>2</v>
      </c>
      <c r="J564" s="16">
        <v>2</v>
      </c>
      <c r="K564" s="16">
        <f t="shared" si="10"/>
        <v>4</v>
      </c>
      <c r="L564" s="38">
        <v>31670000</v>
      </c>
      <c r="M564" s="17" t="s">
        <v>1120</v>
      </c>
      <c r="N564" s="67">
        <v>7200</v>
      </c>
      <c r="O564" s="66" t="s">
        <v>422</v>
      </c>
      <c r="P564" s="30">
        <v>61200000</v>
      </c>
      <c r="Q564" s="33" t="s">
        <v>1642</v>
      </c>
      <c r="R564" s="67">
        <v>4150</v>
      </c>
      <c r="S564" s="16" t="s">
        <v>422</v>
      </c>
      <c r="T564" s="30">
        <v>26975000</v>
      </c>
      <c r="U564" s="16" t="s">
        <v>22</v>
      </c>
      <c r="V564" s="16" t="s">
        <v>50</v>
      </c>
      <c r="W564" s="16">
        <v>115</v>
      </c>
      <c r="X564" s="16" t="s">
        <v>51</v>
      </c>
      <c r="Y564" s="16">
        <v>70</v>
      </c>
      <c r="Z564" s="16">
        <v>30</v>
      </c>
      <c r="AA564" s="16">
        <v>0</v>
      </c>
      <c r="AB564" s="16">
        <v>0</v>
      </c>
      <c r="AC564" s="16"/>
      <c r="AD564" s="68"/>
      <c r="AE564" s="23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</row>
    <row r="565" spans="1:84" s="2" customFormat="1" x14ac:dyDescent="0.2">
      <c r="A565" s="17" t="s">
        <v>3921</v>
      </c>
      <c r="B565" s="17" t="s">
        <v>45</v>
      </c>
      <c r="C565" s="17">
        <v>2025</v>
      </c>
      <c r="D565" s="17" t="str">
        <f t="array" ref="D565">_xlfn.SWITCH(E565,"Jatikalen","35.18.20","Kertosono", "35.18.08","Lengkong","35.18.19","Loceret","35.18.04","Tanjunganom","35.18.11","Wilangan","35.18.15")</f>
        <v>35.18.11</v>
      </c>
      <c r="E565" s="16" t="s">
        <v>60</v>
      </c>
      <c r="F565" s="33" t="s">
        <v>1643</v>
      </c>
      <c r="G565" s="33" t="s">
        <v>1644</v>
      </c>
      <c r="H565" s="16" t="s">
        <v>31</v>
      </c>
      <c r="I565" s="16">
        <v>2</v>
      </c>
      <c r="J565" s="16">
        <v>2</v>
      </c>
      <c r="K565" s="16">
        <f t="shared" si="10"/>
        <v>4</v>
      </c>
      <c r="L565" s="38">
        <v>45200000</v>
      </c>
      <c r="M565" s="17" t="s">
        <v>1120</v>
      </c>
      <c r="N565" s="67">
        <v>9000</v>
      </c>
      <c r="O565" s="66" t="s">
        <v>422</v>
      </c>
      <c r="P565" s="30">
        <v>76500000</v>
      </c>
      <c r="Q565" s="33" t="s">
        <v>1642</v>
      </c>
      <c r="R565" s="67">
        <v>5751</v>
      </c>
      <c r="S565" s="16" t="s">
        <v>422</v>
      </c>
      <c r="T565" s="30">
        <v>37381500</v>
      </c>
      <c r="U565" s="16" t="s">
        <v>22</v>
      </c>
      <c r="V565" s="16" t="s">
        <v>50</v>
      </c>
      <c r="W565" s="16">
        <v>200</v>
      </c>
      <c r="X565" s="16" t="s">
        <v>51</v>
      </c>
      <c r="Y565" s="16">
        <v>90</v>
      </c>
      <c r="Z565" s="16">
        <v>10</v>
      </c>
      <c r="AA565" s="16">
        <v>0</v>
      </c>
      <c r="AB565" s="16">
        <v>0</v>
      </c>
      <c r="AC565" s="16"/>
      <c r="AD565" s="68"/>
      <c r="AE565" s="23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</row>
    <row r="566" spans="1:84" s="2" customFormat="1" x14ac:dyDescent="0.2">
      <c r="A566" s="17" t="s">
        <v>3921</v>
      </c>
      <c r="B566" s="17" t="s">
        <v>45</v>
      </c>
      <c r="C566" s="17">
        <v>2025</v>
      </c>
      <c r="D566" s="17" t="str">
        <f t="array" ref="D566">_xlfn.SWITCH(E566,"Jatikalen","35.18.20","Kertosono", "35.18.08","Lengkong","35.18.19","Loceret","35.18.04","Tanjunganom","35.18.11","Wilangan","35.18.15")</f>
        <v>35.18.11</v>
      </c>
      <c r="E566" s="16" t="s">
        <v>60</v>
      </c>
      <c r="F566" s="33" t="s">
        <v>1643</v>
      </c>
      <c r="G566" s="33" t="s">
        <v>1645</v>
      </c>
      <c r="H566" s="16" t="s">
        <v>31</v>
      </c>
      <c r="I566" s="16">
        <v>2</v>
      </c>
      <c r="J566" s="16">
        <v>3</v>
      </c>
      <c r="K566" s="16">
        <f t="shared" si="10"/>
        <v>5</v>
      </c>
      <c r="L566" s="38">
        <v>47000000</v>
      </c>
      <c r="M566" s="17" t="s">
        <v>1120</v>
      </c>
      <c r="N566" s="67">
        <v>9000</v>
      </c>
      <c r="O566" s="66" t="s">
        <v>422</v>
      </c>
      <c r="P566" s="30">
        <v>76500000</v>
      </c>
      <c r="Q566" s="33" t="s">
        <v>1642</v>
      </c>
      <c r="R566" s="67">
        <v>6000</v>
      </c>
      <c r="S566" s="16" t="s">
        <v>422</v>
      </c>
      <c r="T566" s="30">
        <v>39000000</v>
      </c>
      <c r="U566" s="16" t="s">
        <v>22</v>
      </c>
      <c r="V566" s="16" t="s">
        <v>50</v>
      </c>
      <c r="W566" s="16">
        <v>125</v>
      </c>
      <c r="X566" s="16" t="s">
        <v>51</v>
      </c>
      <c r="Y566" s="16">
        <v>80</v>
      </c>
      <c r="Z566" s="16">
        <v>20</v>
      </c>
      <c r="AA566" s="16">
        <v>0</v>
      </c>
      <c r="AB566" s="16">
        <v>0</v>
      </c>
      <c r="AC566" s="16"/>
      <c r="AD566" s="68"/>
      <c r="AE566" s="23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</row>
    <row r="567" spans="1:84" s="2" customFormat="1" ht="20" x14ac:dyDescent="0.2">
      <c r="A567" s="17" t="s">
        <v>3921</v>
      </c>
      <c r="B567" s="17" t="s">
        <v>45</v>
      </c>
      <c r="C567" s="17">
        <v>2025</v>
      </c>
      <c r="D567" s="17" t="str">
        <f t="array" ref="D567">_xlfn.SWITCH(E567,"Jatikalen","35.18.20","Kertosono", "35.18.08","Lengkong","35.18.19","Loceret","35.18.04","Tanjunganom","35.18.11","Wilangan","35.18.15")</f>
        <v>35.18.11</v>
      </c>
      <c r="E567" s="16" t="s">
        <v>60</v>
      </c>
      <c r="F567" s="33" t="s">
        <v>1646</v>
      </c>
      <c r="G567" s="33" t="s">
        <v>1647</v>
      </c>
      <c r="H567" s="16" t="s">
        <v>31</v>
      </c>
      <c r="I567" s="16">
        <v>2</v>
      </c>
      <c r="J567" s="16">
        <v>2</v>
      </c>
      <c r="K567" s="16">
        <f t="shared" si="10"/>
        <v>4</v>
      </c>
      <c r="L567" s="38">
        <v>40650000</v>
      </c>
      <c r="M567" s="17" t="s">
        <v>172</v>
      </c>
      <c r="N567" s="67">
        <v>7200</v>
      </c>
      <c r="O567" s="66" t="s">
        <v>422</v>
      </c>
      <c r="P567" s="30">
        <v>68400000</v>
      </c>
      <c r="Q567" s="33" t="s">
        <v>1642</v>
      </c>
      <c r="R567" s="67">
        <v>5000</v>
      </c>
      <c r="S567" s="16" t="s">
        <v>422</v>
      </c>
      <c r="T567" s="30">
        <v>32500000</v>
      </c>
      <c r="U567" s="16" t="s">
        <v>22</v>
      </c>
      <c r="V567" s="16" t="s">
        <v>50</v>
      </c>
      <c r="W567" s="16">
        <v>120</v>
      </c>
      <c r="X567" s="16" t="s">
        <v>51</v>
      </c>
      <c r="Y567" s="16">
        <v>80</v>
      </c>
      <c r="Z567" s="16">
        <v>20</v>
      </c>
      <c r="AA567" s="16">
        <v>0</v>
      </c>
      <c r="AB567" s="16">
        <v>0</v>
      </c>
      <c r="AC567" s="16"/>
      <c r="AD567" s="68"/>
      <c r="AE567" s="23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</row>
    <row r="568" spans="1:84" s="2" customFormat="1" x14ac:dyDescent="0.2">
      <c r="A568" s="17" t="s">
        <v>3921</v>
      </c>
      <c r="B568" s="17" t="s">
        <v>45</v>
      </c>
      <c r="C568" s="17">
        <v>2025</v>
      </c>
      <c r="D568" s="17" t="str">
        <f t="array" ref="D568">_xlfn.SWITCH(E568,"Bagor","35.18.14","Sukomoro",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68" s="16" t="s">
        <v>92</v>
      </c>
      <c r="F568" s="33" t="s">
        <v>1648</v>
      </c>
      <c r="G568" s="33" t="s">
        <v>1649</v>
      </c>
      <c r="H568" s="16" t="s">
        <v>31</v>
      </c>
      <c r="I568" s="16">
        <v>4</v>
      </c>
      <c r="J568" s="16">
        <v>6</v>
      </c>
      <c r="K568" s="16">
        <f t="shared" si="10"/>
        <v>10</v>
      </c>
      <c r="L568" s="38">
        <v>80125000</v>
      </c>
      <c r="M568" s="17" t="s">
        <v>1120</v>
      </c>
      <c r="N568" s="67">
        <v>18000</v>
      </c>
      <c r="O568" s="66" t="s">
        <v>422</v>
      </c>
      <c r="P568" s="30">
        <v>153000000</v>
      </c>
      <c r="Q568" s="33" t="s">
        <v>1642</v>
      </c>
      <c r="R568" s="67">
        <v>11250</v>
      </c>
      <c r="S568" s="16" t="s">
        <v>422</v>
      </c>
      <c r="T568" s="30">
        <v>73125000</v>
      </c>
      <c r="U568" s="16" t="s">
        <v>22</v>
      </c>
      <c r="V568" s="16" t="s">
        <v>50</v>
      </c>
      <c r="W568" s="16">
        <v>1000</v>
      </c>
      <c r="X568" s="16" t="s">
        <v>51</v>
      </c>
      <c r="Y568" s="16">
        <v>80</v>
      </c>
      <c r="Z568" s="16">
        <v>20</v>
      </c>
      <c r="AA568" s="16">
        <v>0</v>
      </c>
      <c r="AB568" s="16">
        <v>0</v>
      </c>
      <c r="AC568" s="16"/>
      <c r="AD568" s="68"/>
      <c r="AE568" s="23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</row>
    <row r="569" spans="1:84" s="2" customFormat="1" x14ac:dyDescent="0.2">
      <c r="A569" s="17" t="s">
        <v>3921</v>
      </c>
      <c r="B569" s="17" t="s">
        <v>45</v>
      </c>
      <c r="C569" s="17">
        <v>2025</v>
      </c>
      <c r="D569" s="17" t="str">
        <f t="array" ref="D569">_xlfn.SWITCH(E569,"Bagor","35.18.14","Sukomoro",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69" s="16" t="s">
        <v>92</v>
      </c>
      <c r="F569" s="33" t="s">
        <v>1648</v>
      </c>
      <c r="G569" s="33" t="s">
        <v>1650</v>
      </c>
      <c r="H569" s="16" t="s">
        <v>31</v>
      </c>
      <c r="I569" s="16">
        <v>1</v>
      </c>
      <c r="J569" s="16">
        <v>2</v>
      </c>
      <c r="K569" s="16">
        <f t="shared" si="10"/>
        <v>3</v>
      </c>
      <c r="L569" s="38">
        <v>20810000</v>
      </c>
      <c r="M569" s="17" t="s">
        <v>1651</v>
      </c>
      <c r="N569" s="67">
        <v>6350</v>
      </c>
      <c r="O569" s="66" t="s">
        <v>1420</v>
      </c>
      <c r="P569" s="30">
        <v>31750000</v>
      </c>
      <c r="Q569" s="33" t="s">
        <v>1642</v>
      </c>
      <c r="R569" s="67">
        <v>2850</v>
      </c>
      <c r="S569" s="16" t="s">
        <v>422</v>
      </c>
      <c r="T569" s="30">
        <v>18525000</v>
      </c>
      <c r="U569" s="16" t="s">
        <v>22</v>
      </c>
      <c r="V569" s="16" t="s">
        <v>50</v>
      </c>
      <c r="W569" s="16">
        <v>340</v>
      </c>
      <c r="X569" s="16" t="s">
        <v>51</v>
      </c>
      <c r="Y569" s="16">
        <v>80</v>
      </c>
      <c r="Z569" s="16">
        <v>20</v>
      </c>
      <c r="AA569" s="16">
        <v>0</v>
      </c>
      <c r="AB569" s="16">
        <v>0</v>
      </c>
      <c r="AC569" s="16"/>
      <c r="AD569" s="68"/>
      <c r="AE569" s="23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</row>
    <row r="570" spans="1:84" s="2" customFormat="1" x14ac:dyDescent="0.2">
      <c r="A570" s="17" t="s">
        <v>3921</v>
      </c>
      <c r="B570" s="17" t="s">
        <v>45</v>
      </c>
      <c r="C570" s="17">
        <v>2025</v>
      </c>
      <c r="D570" s="17" t="str">
        <f t="array" ref="D570">_xlfn.SWITCH(E570,"Bagor","35.18.14","Sukomoro",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0" s="16" t="s">
        <v>45</v>
      </c>
      <c r="F570" s="33" t="s">
        <v>1652</v>
      </c>
      <c r="G570" s="33" t="s">
        <v>1653</v>
      </c>
      <c r="H570" s="16" t="s">
        <v>31</v>
      </c>
      <c r="I570" s="16">
        <v>2</v>
      </c>
      <c r="J570" s="16">
        <v>2</v>
      </c>
      <c r="K570" s="16">
        <f t="shared" si="10"/>
        <v>4</v>
      </c>
      <c r="L570" s="38">
        <v>27462000</v>
      </c>
      <c r="M570" s="17" t="s">
        <v>1654</v>
      </c>
      <c r="N570" s="67">
        <v>65</v>
      </c>
      <c r="O570" s="66" t="s">
        <v>1238</v>
      </c>
      <c r="P570" s="30">
        <v>58000000</v>
      </c>
      <c r="Q570" s="33" t="s">
        <v>1655</v>
      </c>
      <c r="R570" s="67">
        <v>25</v>
      </c>
      <c r="S570" s="16" t="s">
        <v>962</v>
      </c>
      <c r="T570" s="30">
        <v>22500000</v>
      </c>
      <c r="U570" s="16" t="s">
        <v>22</v>
      </c>
      <c r="V570" s="20" t="s">
        <v>50</v>
      </c>
      <c r="W570" s="16">
        <v>41</v>
      </c>
      <c r="X570" s="16" t="s">
        <v>51</v>
      </c>
      <c r="Y570" s="16">
        <v>50</v>
      </c>
      <c r="Z570" s="16">
        <v>30</v>
      </c>
      <c r="AA570" s="16">
        <v>20</v>
      </c>
      <c r="AB570" s="16">
        <v>0</v>
      </c>
      <c r="AC570" s="16"/>
      <c r="AD570" s="68"/>
      <c r="AE570" s="23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</row>
    <row r="571" spans="1:84" s="2" customFormat="1" x14ac:dyDescent="0.2">
      <c r="A571" s="17" t="s">
        <v>3921</v>
      </c>
      <c r="B571" s="17" t="s">
        <v>45</v>
      </c>
      <c r="C571" s="17">
        <v>2025</v>
      </c>
      <c r="D571" s="17" t="str">
        <f t="array" ref="D571">_xlfn.SWITCH(E571,"Bagor","35.18.14","Sukomoro",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1" s="16" t="s">
        <v>45</v>
      </c>
      <c r="F571" s="33" t="s">
        <v>1656</v>
      </c>
      <c r="G571" s="33" t="s">
        <v>1657</v>
      </c>
      <c r="H571" s="16" t="s">
        <v>31</v>
      </c>
      <c r="I571" s="16">
        <v>2</v>
      </c>
      <c r="J571" s="16">
        <v>3</v>
      </c>
      <c r="K571" s="16">
        <f t="shared" si="10"/>
        <v>5</v>
      </c>
      <c r="L571" s="38">
        <v>20500000</v>
      </c>
      <c r="M571" s="17" t="s">
        <v>1658</v>
      </c>
      <c r="N571" s="67">
        <v>8000</v>
      </c>
      <c r="O571" s="66" t="s">
        <v>49</v>
      </c>
      <c r="P571" s="30">
        <v>36000000</v>
      </c>
      <c r="Q571" s="33" t="s">
        <v>1659</v>
      </c>
      <c r="R571" s="67">
        <v>5600</v>
      </c>
      <c r="S571" s="16" t="s">
        <v>422</v>
      </c>
      <c r="T571" s="30">
        <v>18200000</v>
      </c>
      <c r="U571" s="16" t="s">
        <v>22</v>
      </c>
      <c r="V571" s="20" t="s">
        <v>50</v>
      </c>
      <c r="W571" s="16">
        <v>2000</v>
      </c>
      <c r="X571" s="16" t="s">
        <v>51</v>
      </c>
      <c r="Y571" s="16">
        <v>80</v>
      </c>
      <c r="Z571" s="16">
        <v>20</v>
      </c>
      <c r="AA571" s="16">
        <v>0</v>
      </c>
      <c r="AB571" s="16">
        <v>0</v>
      </c>
      <c r="AC571" s="16"/>
      <c r="AD571" s="68"/>
      <c r="AE571" s="23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</row>
    <row r="572" spans="1:84" s="2" customFormat="1" x14ac:dyDescent="0.2">
      <c r="A572" s="17" t="s">
        <v>3921</v>
      </c>
      <c r="B572" s="17" t="s">
        <v>45</v>
      </c>
      <c r="C572" s="17">
        <v>2025</v>
      </c>
      <c r="D572" s="17" t="str">
        <f t="array" ref="D572">_xlfn.SWITCH(E572,"Bagor","35.18.14","Sukomoro",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2" s="16" t="s">
        <v>45</v>
      </c>
      <c r="F572" s="33" t="s">
        <v>1660</v>
      </c>
      <c r="G572" s="33" t="s">
        <v>1661</v>
      </c>
      <c r="H572" s="16" t="s">
        <v>31</v>
      </c>
      <c r="I572" s="16">
        <v>3</v>
      </c>
      <c r="J572" s="16">
        <v>5</v>
      </c>
      <c r="K572" s="16">
        <f t="shared" si="10"/>
        <v>8</v>
      </c>
      <c r="L572" s="38">
        <v>68360000</v>
      </c>
      <c r="M572" s="17" t="s">
        <v>1120</v>
      </c>
      <c r="N572" s="67">
        <v>14400</v>
      </c>
      <c r="O572" s="66" t="s">
        <v>422</v>
      </c>
      <c r="P572" s="30">
        <v>122400000</v>
      </c>
      <c r="Q572" s="33" t="s">
        <v>1642</v>
      </c>
      <c r="R572" s="67">
        <v>10140</v>
      </c>
      <c r="S572" s="16" t="s">
        <v>422</v>
      </c>
      <c r="T572" s="30">
        <v>65910000</v>
      </c>
      <c r="U572" s="16" t="s">
        <v>22</v>
      </c>
      <c r="V572" s="16" t="s">
        <v>50</v>
      </c>
      <c r="W572" s="16">
        <v>960</v>
      </c>
      <c r="X572" s="16" t="s">
        <v>51</v>
      </c>
      <c r="Y572" s="16">
        <v>75</v>
      </c>
      <c r="Z572" s="16">
        <v>25</v>
      </c>
      <c r="AA572" s="16">
        <v>0</v>
      </c>
      <c r="AB572" s="16">
        <v>0</v>
      </c>
      <c r="AC572" s="16"/>
      <c r="AD572" s="68"/>
      <c r="AE572" s="23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</row>
    <row r="573" spans="1:84" s="2" customFormat="1" x14ac:dyDescent="0.2">
      <c r="A573" s="17" t="s">
        <v>3921</v>
      </c>
      <c r="B573" s="17" t="s">
        <v>45</v>
      </c>
      <c r="C573" s="17">
        <v>2025</v>
      </c>
      <c r="D573" s="17" t="str">
        <f t="array" ref="D573">_xlfn.SWITCH(E573,"Bagor","35.18.14","Sukomoro",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3" s="16" t="s">
        <v>45</v>
      </c>
      <c r="F573" s="33" t="s">
        <v>1660</v>
      </c>
      <c r="G573" s="33" t="s">
        <v>1662</v>
      </c>
      <c r="H573" s="16" t="s">
        <v>31</v>
      </c>
      <c r="I573" s="16">
        <v>3</v>
      </c>
      <c r="J573" s="16">
        <v>4</v>
      </c>
      <c r="K573" s="16">
        <f t="shared" si="10"/>
        <v>7</v>
      </c>
      <c r="L573" s="38">
        <v>67100000</v>
      </c>
      <c r="M573" s="17" t="s">
        <v>1120</v>
      </c>
      <c r="N573" s="67">
        <v>14400</v>
      </c>
      <c r="O573" s="66" t="s">
        <v>422</v>
      </c>
      <c r="P573" s="30">
        <v>122400000</v>
      </c>
      <c r="Q573" s="33" t="s">
        <v>1642</v>
      </c>
      <c r="R573" s="67">
        <v>9850</v>
      </c>
      <c r="S573" s="16" t="s">
        <v>422</v>
      </c>
      <c r="T573" s="30">
        <v>64025000</v>
      </c>
      <c r="U573" s="16" t="s">
        <v>22</v>
      </c>
      <c r="V573" s="16" t="s">
        <v>50</v>
      </c>
      <c r="W573" s="16">
        <v>750</v>
      </c>
      <c r="X573" s="16" t="s">
        <v>51</v>
      </c>
      <c r="Y573" s="16">
        <v>70</v>
      </c>
      <c r="Z573" s="16">
        <v>30</v>
      </c>
      <c r="AA573" s="16">
        <v>0</v>
      </c>
      <c r="AB573" s="16">
        <v>0</v>
      </c>
      <c r="AC573" s="16"/>
      <c r="AD573" s="68"/>
      <c r="AE573" s="23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</row>
    <row r="574" spans="1:84" s="2" customFormat="1" x14ac:dyDescent="0.2">
      <c r="A574" s="17" t="s">
        <v>3921</v>
      </c>
      <c r="B574" s="17" t="s">
        <v>45</v>
      </c>
      <c r="C574" s="17">
        <v>2025</v>
      </c>
      <c r="D574" s="17" t="str">
        <f t="array" ref="D574">_xlfn.SWITCH(E574,"Bagor","35.18.14","Sukomoro",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4" s="16" t="s">
        <v>45</v>
      </c>
      <c r="F574" s="33" t="s">
        <v>1660</v>
      </c>
      <c r="G574" s="33" t="s">
        <v>1663</v>
      </c>
      <c r="H574" s="16" t="s">
        <v>31</v>
      </c>
      <c r="I574" s="16">
        <v>2</v>
      </c>
      <c r="J574" s="16">
        <v>4</v>
      </c>
      <c r="K574" s="16">
        <f t="shared" si="10"/>
        <v>6</v>
      </c>
      <c r="L574" s="38">
        <v>35400000</v>
      </c>
      <c r="M574" s="17" t="s">
        <v>1120</v>
      </c>
      <c r="N574" s="67">
        <v>7200</v>
      </c>
      <c r="O574" s="66" t="s">
        <v>422</v>
      </c>
      <c r="P574" s="30">
        <v>61200000</v>
      </c>
      <c r="Q574" s="33" t="s">
        <v>1642</v>
      </c>
      <c r="R574" s="67">
        <v>5200</v>
      </c>
      <c r="S574" s="16" t="s">
        <v>422</v>
      </c>
      <c r="T574" s="30">
        <v>33800000</v>
      </c>
      <c r="U574" s="16" t="s">
        <v>22</v>
      </c>
      <c r="V574" s="16" t="s">
        <v>50</v>
      </c>
      <c r="W574" s="16">
        <v>120</v>
      </c>
      <c r="X574" s="16" t="s">
        <v>51</v>
      </c>
      <c r="Y574" s="16">
        <v>90</v>
      </c>
      <c r="Z574" s="16">
        <v>10</v>
      </c>
      <c r="AA574" s="16">
        <v>0</v>
      </c>
      <c r="AB574" s="16">
        <v>0</v>
      </c>
      <c r="AC574" s="16"/>
      <c r="AD574" s="68"/>
      <c r="AE574" s="23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</row>
    <row r="575" spans="1:84" s="2" customFormat="1" x14ac:dyDescent="0.2">
      <c r="A575" s="17" t="s">
        <v>3921</v>
      </c>
      <c r="B575" s="17" t="s">
        <v>45</v>
      </c>
      <c r="C575" s="17">
        <v>2025</v>
      </c>
      <c r="D575" s="17" t="str">
        <f t="array" ref="D575">_xlfn.SWITCH(E575,"Bagor","35.18.14","Sukomoro",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5" s="16" t="s">
        <v>45</v>
      </c>
      <c r="F575" s="33" t="s">
        <v>1660</v>
      </c>
      <c r="G575" s="33" t="s">
        <v>1664</v>
      </c>
      <c r="H575" s="16" t="s">
        <v>31</v>
      </c>
      <c r="I575" s="16">
        <v>3</v>
      </c>
      <c r="J575" s="16">
        <v>5</v>
      </c>
      <c r="K575" s="16">
        <f t="shared" si="10"/>
        <v>8</v>
      </c>
      <c r="L575" s="38">
        <v>47625000</v>
      </c>
      <c r="M575" s="17" t="s">
        <v>1665</v>
      </c>
      <c r="N575" s="67">
        <v>10800</v>
      </c>
      <c r="O575" s="66" t="s">
        <v>422</v>
      </c>
      <c r="P575" s="30">
        <v>91800000</v>
      </c>
      <c r="Q575" s="33" t="s">
        <v>1642</v>
      </c>
      <c r="R575" s="67">
        <v>6930</v>
      </c>
      <c r="S575" s="16" t="s">
        <v>422</v>
      </c>
      <c r="T575" s="30">
        <v>45045000</v>
      </c>
      <c r="U575" s="16" t="s">
        <v>22</v>
      </c>
      <c r="V575" s="16" t="s">
        <v>50</v>
      </c>
      <c r="W575" s="16">
        <v>110</v>
      </c>
      <c r="X575" s="16" t="s">
        <v>51</v>
      </c>
      <c r="Y575" s="16">
        <v>90</v>
      </c>
      <c r="Z575" s="16">
        <v>10</v>
      </c>
      <c r="AA575" s="16">
        <v>0</v>
      </c>
      <c r="AB575" s="16">
        <v>0</v>
      </c>
      <c r="AC575" s="16"/>
      <c r="AD575" s="68"/>
      <c r="AE575" s="23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</row>
    <row r="576" spans="1:84" s="2" customFormat="1" x14ac:dyDescent="0.2">
      <c r="A576" s="17" t="s">
        <v>3921</v>
      </c>
      <c r="B576" s="17" t="s">
        <v>45</v>
      </c>
      <c r="C576" s="17">
        <v>2025</v>
      </c>
      <c r="D576" s="17" t="str">
        <f t="array" ref="D576">_xlfn.SWITCH(E576,"Bagor","35.18.14","Sukomoro",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6" s="16" t="s">
        <v>45</v>
      </c>
      <c r="F576" s="33" t="s">
        <v>1660</v>
      </c>
      <c r="G576" s="33" t="s">
        <v>1666</v>
      </c>
      <c r="H576" s="16" t="s">
        <v>31</v>
      </c>
      <c r="I576" s="16">
        <v>2</v>
      </c>
      <c r="J576" s="16">
        <v>4</v>
      </c>
      <c r="K576" s="16">
        <f t="shared" si="10"/>
        <v>6</v>
      </c>
      <c r="L576" s="38">
        <v>45000000</v>
      </c>
      <c r="M576" s="17" t="s">
        <v>1120</v>
      </c>
      <c r="N576" s="67">
        <v>10800</v>
      </c>
      <c r="O576" s="66" t="s">
        <v>422</v>
      </c>
      <c r="P576" s="30">
        <v>91800000</v>
      </c>
      <c r="Q576" s="33" t="s">
        <v>1642</v>
      </c>
      <c r="R576" s="67">
        <v>6500</v>
      </c>
      <c r="S576" s="16" t="s">
        <v>422</v>
      </c>
      <c r="T576" s="30">
        <v>42250000</v>
      </c>
      <c r="U576" s="16" t="s">
        <v>22</v>
      </c>
      <c r="V576" s="16" t="s">
        <v>50</v>
      </c>
      <c r="W576" s="16">
        <v>120</v>
      </c>
      <c r="X576" s="16" t="s">
        <v>51</v>
      </c>
      <c r="Y576" s="16">
        <v>80</v>
      </c>
      <c r="Z576" s="16">
        <v>20</v>
      </c>
      <c r="AA576" s="16">
        <v>0</v>
      </c>
      <c r="AB576" s="16">
        <v>0</v>
      </c>
      <c r="AC576" s="16"/>
      <c r="AD576" s="68"/>
      <c r="AE576" s="23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</row>
    <row r="577" spans="1:84" s="2" customFormat="1" x14ac:dyDescent="0.2">
      <c r="A577" s="17" t="s">
        <v>3921</v>
      </c>
      <c r="B577" s="17" t="s">
        <v>45</v>
      </c>
      <c r="C577" s="17">
        <v>2025</v>
      </c>
      <c r="D577" s="17" t="str">
        <f t="array" ref="D577">_xlfn.SWITCH(E577,"Jatikalen","35.18.20","Kertosono", "35.18.08","Lengkong","35.18.19","Loceret","35.18.04","Tanjunganom","35.18.11","Wilangan","35.18.15")</f>
        <v>35.18.04</v>
      </c>
      <c r="E577" s="16" t="s">
        <v>41</v>
      </c>
      <c r="F577" s="33" t="s">
        <v>1480</v>
      </c>
      <c r="G577" s="33" t="s">
        <v>1667</v>
      </c>
      <c r="H577" s="16" t="s">
        <v>31</v>
      </c>
      <c r="I577" s="16">
        <v>3</v>
      </c>
      <c r="J577" s="16">
        <v>2</v>
      </c>
      <c r="K577" s="16">
        <f t="shared" si="10"/>
        <v>5</v>
      </c>
      <c r="L577" s="38">
        <v>104650000</v>
      </c>
      <c r="M577" s="17" t="s">
        <v>1120</v>
      </c>
      <c r="N577" s="67">
        <v>18.8</v>
      </c>
      <c r="O577" s="66" t="s">
        <v>83</v>
      </c>
      <c r="P577" s="30">
        <v>159800000</v>
      </c>
      <c r="Q577" s="33" t="s">
        <v>1642</v>
      </c>
      <c r="R577" s="67">
        <v>15.4</v>
      </c>
      <c r="S577" s="16" t="s">
        <v>83</v>
      </c>
      <c r="T577" s="30">
        <v>100100000</v>
      </c>
      <c r="U577" s="16" t="s">
        <v>22</v>
      </c>
      <c r="V577" s="16" t="s">
        <v>50</v>
      </c>
      <c r="W577" s="16">
        <v>4000</v>
      </c>
      <c r="X577" s="16" t="s">
        <v>51</v>
      </c>
      <c r="Y577" s="16">
        <v>80</v>
      </c>
      <c r="Z577" s="16">
        <v>20</v>
      </c>
      <c r="AA577" s="16">
        <v>0</v>
      </c>
      <c r="AB577" s="16">
        <v>0</v>
      </c>
      <c r="AC577" s="16"/>
      <c r="AD577" s="68"/>
      <c r="AE577" s="23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</row>
    <row r="578" spans="1:84" s="2" customFormat="1" x14ac:dyDescent="0.2">
      <c r="A578" s="17" t="s">
        <v>3921</v>
      </c>
      <c r="B578" s="17" t="s">
        <v>45</v>
      </c>
      <c r="C578" s="17">
        <v>2025</v>
      </c>
      <c r="D578" s="17" t="str">
        <f t="array" ref="D578">_xlfn.SWITCH(E578,"Bagor","35.18.14","Sukomoro",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78" s="16" t="s">
        <v>92</v>
      </c>
      <c r="F578" s="33" t="s">
        <v>1192</v>
      </c>
      <c r="G578" s="33" t="s">
        <v>1668</v>
      </c>
      <c r="H578" s="16" t="s">
        <v>31</v>
      </c>
      <c r="I578" s="16">
        <v>5</v>
      </c>
      <c r="J578" s="16">
        <v>3</v>
      </c>
      <c r="K578" s="16">
        <f t="shared" ref="K578:K641" si="11">I578+J578</f>
        <v>8</v>
      </c>
      <c r="L578" s="38">
        <v>168360000</v>
      </c>
      <c r="M578" s="17" t="s">
        <v>1120</v>
      </c>
      <c r="N578" s="67">
        <v>28800</v>
      </c>
      <c r="O578" s="66" t="s">
        <v>422</v>
      </c>
      <c r="P578" s="30">
        <v>244800000</v>
      </c>
      <c r="Q578" s="33" t="s">
        <v>1642</v>
      </c>
      <c r="R578" s="67">
        <v>22710</v>
      </c>
      <c r="S578" s="16" t="s">
        <v>422</v>
      </c>
      <c r="T578" s="30">
        <v>147615000</v>
      </c>
      <c r="U578" s="16" t="s">
        <v>22</v>
      </c>
      <c r="V578" s="16" t="s">
        <v>50</v>
      </c>
      <c r="W578" s="16">
        <v>3600</v>
      </c>
      <c r="X578" s="16" t="s">
        <v>51</v>
      </c>
      <c r="Y578" s="16">
        <v>75</v>
      </c>
      <c r="Z578" s="16">
        <v>25</v>
      </c>
      <c r="AA578" s="16">
        <v>0</v>
      </c>
      <c r="AB578" s="16">
        <v>0</v>
      </c>
      <c r="AC578" s="16"/>
      <c r="AD578" s="68"/>
      <c r="AE578" s="23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</row>
    <row r="579" spans="1:84" s="2" customFormat="1" ht="20" x14ac:dyDescent="0.2">
      <c r="A579" s="17" t="s">
        <v>3921</v>
      </c>
      <c r="B579" s="17" t="s">
        <v>45</v>
      </c>
      <c r="C579" s="17">
        <v>2025</v>
      </c>
      <c r="D579" s="17" t="str">
        <f t="array" ref="D579">_xlfn.SWITCH(E579,"Bagor","35.18.14","Sukomoro",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79" s="16" t="s">
        <v>92</v>
      </c>
      <c r="F579" s="33" t="s">
        <v>1669</v>
      </c>
      <c r="G579" s="33" t="s">
        <v>1670</v>
      </c>
      <c r="H579" s="16" t="s">
        <v>31</v>
      </c>
      <c r="I579" s="16">
        <v>0</v>
      </c>
      <c r="J579" s="16">
        <v>7</v>
      </c>
      <c r="K579" s="16">
        <f t="shared" si="11"/>
        <v>7</v>
      </c>
      <c r="L579" s="38">
        <v>11700000</v>
      </c>
      <c r="M579" s="17" t="s">
        <v>1671</v>
      </c>
      <c r="N579" s="67">
        <v>1440</v>
      </c>
      <c r="O579" s="16" t="s">
        <v>211</v>
      </c>
      <c r="P579" s="30">
        <v>115200000</v>
      </c>
      <c r="Q579" s="33" t="s">
        <v>1468</v>
      </c>
      <c r="R579" s="67">
        <f>1440+720+1+2+1+10+6+12</f>
        <v>2192</v>
      </c>
      <c r="S579" s="16" t="s">
        <v>1672</v>
      </c>
      <c r="T579" s="30">
        <v>2583000</v>
      </c>
      <c r="U579" s="16" t="s">
        <v>22</v>
      </c>
      <c r="V579" s="20">
        <v>0</v>
      </c>
      <c r="W579" s="16">
        <v>0</v>
      </c>
      <c r="X579" s="16">
        <v>0</v>
      </c>
      <c r="Y579" s="16">
        <v>75</v>
      </c>
      <c r="Z579" s="16">
        <v>25</v>
      </c>
      <c r="AA579" s="16">
        <v>0</v>
      </c>
      <c r="AB579" s="16">
        <v>0</v>
      </c>
      <c r="AC579" s="16"/>
      <c r="AD579" s="68"/>
      <c r="AE579" s="23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</row>
    <row r="580" spans="1:84" s="2" customFormat="1" ht="20" x14ac:dyDescent="0.2">
      <c r="A580" s="17" t="s">
        <v>3921</v>
      </c>
      <c r="B580" s="17" t="s">
        <v>45</v>
      </c>
      <c r="C580" s="17">
        <v>2025</v>
      </c>
      <c r="D580" s="17" t="str">
        <f t="array" ref="D580">_xlfn.SWITCH(E580,"Jatikalen","35.18.20","Kertosono", "35.18.08","Lengkong","35.18.19","Loceret","35.18.04","Tanjunganom","35.18.11","Wilangan","35.18.15")</f>
        <v>35.18.11</v>
      </c>
      <c r="E580" s="16" t="s">
        <v>60</v>
      </c>
      <c r="F580" s="33" t="s">
        <v>1673</v>
      </c>
      <c r="G580" s="33" t="s">
        <v>1674</v>
      </c>
      <c r="H580" s="16" t="s">
        <v>47</v>
      </c>
      <c r="I580" s="16">
        <v>5</v>
      </c>
      <c r="J580" s="16">
        <v>0</v>
      </c>
      <c r="K580" s="16">
        <f t="shared" si="11"/>
        <v>5</v>
      </c>
      <c r="L580" s="38">
        <v>325000000</v>
      </c>
      <c r="M580" s="17" t="s">
        <v>1675</v>
      </c>
      <c r="N580" s="67">
        <v>300</v>
      </c>
      <c r="O580" s="16" t="s">
        <v>962</v>
      </c>
      <c r="P580" s="30">
        <v>680000000</v>
      </c>
      <c r="Q580" s="33" t="s">
        <v>1676</v>
      </c>
      <c r="R580" s="67">
        <v>550</v>
      </c>
      <c r="S580" s="16" t="s">
        <v>962</v>
      </c>
      <c r="T580" s="30">
        <v>220000000</v>
      </c>
      <c r="U580" s="16" t="s">
        <v>22</v>
      </c>
      <c r="V580" s="20" t="s">
        <v>1677</v>
      </c>
      <c r="W580" s="16"/>
      <c r="X580" s="16"/>
      <c r="Y580" s="16">
        <v>75</v>
      </c>
      <c r="Z580" s="16">
        <v>25</v>
      </c>
      <c r="AA580" s="16">
        <v>0</v>
      </c>
      <c r="AB580" s="16">
        <v>0</v>
      </c>
      <c r="AC580" s="16"/>
      <c r="AD580" s="68"/>
      <c r="AE580" s="23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</row>
    <row r="581" spans="1:84" s="2" customFormat="1" ht="20" x14ac:dyDescent="0.2">
      <c r="A581" s="17" t="s">
        <v>3921</v>
      </c>
      <c r="B581" s="17" t="s">
        <v>45</v>
      </c>
      <c r="C581" s="17">
        <v>2025</v>
      </c>
      <c r="D581" s="17" t="str">
        <f t="array" ref="D581">_xlfn.SWITCH(E581,"Bagor","35.18.14","Sukomoro",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81" s="16" t="s">
        <v>157</v>
      </c>
      <c r="F581" s="33" t="s">
        <v>1678</v>
      </c>
      <c r="G581" s="33" t="s">
        <v>1679</v>
      </c>
      <c r="H581" s="16" t="s">
        <v>31</v>
      </c>
      <c r="I581" s="16">
        <v>1</v>
      </c>
      <c r="J581" s="16">
        <v>0</v>
      </c>
      <c r="K581" s="16">
        <f t="shared" si="11"/>
        <v>1</v>
      </c>
      <c r="L581" s="38">
        <v>7000000</v>
      </c>
      <c r="M581" s="17" t="s">
        <v>1518</v>
      </c>
      <c r="N581" s="67">
        <v>36</v>
      </c>
      <c r="O581" s="16" t="s">
        <v>211</v>
      </c>
      <c r="P581" s="30">
        <v>43200000</v>
      </c>
      <c r="Q581" s="33" t="s">
        <v>1680</v>
      </c>
      <c r="R581" s="67">
        <v>18</v>
      </c>
      <c r="S581" s="16" t="s">
        <v>51</v>
      </c>
      <c r="T581" s="30">
        <v>12600000</v>
      </c>
      <c r="U581" s="16" t="s">
        <v>22</v>
      </c>
      <c r="V581" s="20">
        <v>0</v>
      </c>
      <c r="W581" s="16">
        <v>0</v>
      </c>
      <c r="X581" s="16">
        <v>0</v>
      </c>
      <c r="Y581" s="16">
        <v>80</v>
      </c>
      <c r="Z581" s="16">
        <v>20</v>
      </c>
      <c r="AA581" s="16">
        <v>0</v>
      </c>
      <c r="AB581" s="16">
        <v>0</v>
      </c>
      <c r="AC581" s="16"/>
      <c r="AD581" s="68"/>
      <c r="AE581" s="23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</row>
    <row r="582" spans="1:84" s="2" customFormat="1" ht="20" x14ac:dyDescent="0.2">
      <c r="A582" s="17" t="s">
        <v>3921</v>
      </c>
      <c r="B582" s="17" t="s">
        <v>45</v>
      </c>
      <c r="C582" s="17">
        <v>2025</v>
      </c>
      <c r="D582" s="17" t="str">
        <f t="array" ref="D582">_xlfn.SWITCH(E582,"Bagor","35.18.14","Sukomoro",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82" s="16" t="s">
        <v>157</v>
      </c>
      <c r="F582" s="33" t="s">
        <v>1681</v>
      </c>
      <c r="G582" s="33" t="s">
        <v>1682</v>
      </c>
      <c r="H582" s="16" t="s">
        <v>47</v>
      </c>
      <c r="I582" s="16">
        <v>4</v>
      </c>
      <c r="J582" s="16">
        <v>0</v>
      </c>
      <c r="K582" s="16">
        <f t="shared" si="11"/>
        <v>4</v>
      </c>
      <c r="L582" s="38">
        <v>60000000</v>
      </c>
      <c r="M582" s="17" t="s">
        <v>1683</v>
      </c>
      <c r="N582" s="67">
        <v>72</v>
      </c>
      <c r="O582" s="16" t="s">
        <v>1684</v>
      </c>
      <c r="P582" s="30">
        <v>576000000</v>
      </c>
      <c r="Q582" s="33" t="s">
        <v>50</v>
      </c>
      <c r="R582" s="67">
        <v>36</v>
      </c>
      <c r="S582" s="16" t="s">
        <v>1684</v>
      </c>
      <c r="T582" s="30">
        <v>216000000</v>
      </c>
      <c r="U582" s="16" t="s">
        <v>22</v>
      </c>
      <c r="V582" s="20">
        <v>0</v>
      </c>
      <c r="W582" s="16">
        <v>0</v>
      </c>
      <c r="X582" s="16">
        <v>0</v>
      </c>
      <c r="Y582" s="16">
        <v>70</v>
      </c>
      <c r="Z582" s="16">
        <v>30</v>
      </c>
      <c r="AA582" s="16">
        <v>0</v>
      </c>
      <c r="AB582" s="16">
        <v>0</v>
      </c>
      <c r="AC582" s="16" t="s">
        <v>1685</v>
      </c>
      <c r="AD582" s="68"/>
      <c r="AE582" s="23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</row>
    <row r="583" spans="1:84" s="2" customFormat="1" x14ac:dyDescent="0.2">
      <c r="A583" s="17" t="s">
        <v>3921</v>
      </c>
      <c r="B583" s="17" t="s">
        <v>45</v>
      </c>
      <c r="C583" s="17">
        <v>2025</v>
      </c>
      <c r="D583" s="17" t="str">
        <f t="array" ref="D583">_xlfn.SWITCH(E583,"Bagor","35.18.14","Sukomoro",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83" s="16" t="s">
        <v>92</v>
      </c>
      <c r="F583" s="33" t="s">
        <v>1686</v>
      </c>
      <c r="G583" s="33" t="s">
        <v>1687</v>
      </c>
      <c r="H583" s="16" t="s">
        <v>31</v>
      </c>
      <c r="I583" s="16">
        <v>6</v>
      </c>
      <c r="J583" s="16">
        <v>0</v>
      </c>
      <c r="K583" s="16">
        <f t="shared" si="11"/>
        <v>6</v>
      </c>
      <c r="L583" s="38">
        <v>100000000</v>
      </c>
      <c r="M583" s="17" t="s">
        <v>72</v>
      </c>
      <c r="N583" s="67">
        <v>60</v>
      </c>
      <c r="O583" s="16" t="s">
        <v>51</v>
      </c>
      <c r="P583" s="30">
        <v>180000000</v>
      </c>
      <c r="Q583" s="33" t="s">
        <v>50</v>
      </c>
      <c r="R583" s="67">
        <v>60</v>
      </c>
      <c r="S583" s="16" t="s">
        <v>51</v>
      </c>
      <c r="T583" s="30">
        <v>90000000</v>
      </c>
      <c r="U583" s="16" t="s">
        <v>22</v>
      </c>
      <c r="V583" s="20">
        <v>0</v>
      </c>
      <c r="W583" s="16">
        <v>0</v>
      </c>
      <c r="X583" s="16">
        <v>0</v>
      </c>
      <c r="Y583" s="16">
        <v>60</v>
      </c>
      <c r="Z583" s="16">
        <v>40</v>
      </c>
      <c r="AA583" s="16">
        <v>0</v>
      </c>
      <c r="AB583" s="16">
        <v>0</v>
      </c>
      <c r="AC583" s="16"/>
      <c r="AD583" s="68"/>
      <c r="AE583" s="23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</row>
    <row r="584" spans="1:84" s="2" customFormat="1" x14ac:dyDescent="0.2">
      <c r="A584" s="17" t="s">
        <v>3921</v>
      </c>
      <c r="B584" s="17" t="s">
        <v>45</v>
      </c>
      <c r="C584" s="17">
        <v>2025</v>
      </c>
      <c r="D584" s="17" t="str">
        <f t="array" ref="D584">_xlfn.SWITCH(E584,"Bagor","35.18.14","Sukomoro",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84" s="16" t="s">
        <v>114</v>
      </c>
      <c r="F584" s="33" t="s">
        <v>1688</v>
      </c>
      <c r="G584" s="33" t="s">
        <v>1689</v>
      </c>
      <c r="H584" s="16" t="s">
        <v>47</v>
      </c>
      <c r="I584" s="16">
        <v>3</v>
      </c>
      <c r="J584" s="16">
        <v>0</v>
      </c>
      <c r="K584" s="16">
        <f t="shared" si="11"/>
        <v>3</v>
      </c>
      <c r="L584" s="38">
        <v>120000000</v>
      </c>
      <c r="M584" s="17" t="s">
        <v>341</v>
      </c>
      <c r="N584" s="67">
        <v>624</v>
      </c>
      <c r="O584" s="16" t="s">
        <v>962</v>
      </c>
      <c r="P584" s="30">
        <v>405600000</v>
      </c>
      <c r="Q584" s="33" t="s">
        <v>1676</v>
      </c>
      <c r="R584" s="67">
        <v>624</v>
      </c>
      <c r="S584" s="16" t="s">
        <v>962</v>
      </c>
      <c r="T584" s="30">
        <v>249600000</v>
      </c>
      <c r="U584" s="16" t="s">
        <v>22</v>
      </c>
      <c r="V584" s="20" t="s">
        <v>1677</v>
      </c>
      <c r="W584" s="16"/>
      <c r="X584" s="16"/>
      <c r="Y584" s="16">
        <v>65</v>
      </c>
      <c r="Z584" s="16">
        <v>35</v>
      </c>
      <c r="AA584" s="16">
        <v>0</v>
      </c>
      <c r="AB584" s="16">
        <v>0</v>
      </c>
      <c r="AC584" s="16"/>
      <c r="AD584" s="68"/>
      <c r="AE584" s="23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</row>
    <row r="585" spans="1:84" s="2" customFormat="1" ht="20" x14ac:dyDescent="0.2">
      <c r="A585" s="17" t="s">
        <v>3921</v>
      </c>
      <c r="B585" s="17" t="s">
        <v>45</v>
      </c>
      <c r="C585" s="17">
        <v>2025</v>
      </c>
      <c r="D585" s="17" t="str">
        <f t="array" ref="D585">_xlfn.SWITCH(E585,"Bagor","35.18.14","Sukomoro",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85" s="16" t="s">
        <v>114</v>
      </c>
      <c r="F585" s="33" t="s">
        <v>1690</v>
      </c>
      <c r="G585" s="33" t="s">
        <v>1691</v>
      </c>
      <c r="H585" s="16" t="s">
        <v>47</v>
      </c>
      <c r="I585" s="16">
        <v>1</v>
      </c>
      <c r="J585" s="16">
        <v>0</v>
      </c>
      <c r="K585" s="16">
        <f t="shared" si="11"/>
        <v>1</v>
      </c>
      <c r="L585" s="38">
        <v>150000000</v>
      </c>
      <c r="M585" s="17" t="s">
        <v>986</v>
      </c>
      <c r="N585" s="67">
        <v>240</v>
      </c>
      <c r="O585" s="16" t="s">
        <v>962</v>
      </c>
      <c r="P585" s="30">
        <v>168000000</v>
      </c>
      <c r="Q585" s="33" t="s">
        <v>84</v>
      </c>
      <c r="R585" s="67">
        <v>150</v>
      </c>
      <c r="S585" s="16" t="s">
        <v>962</v>
      </c>
      <c r="T585" s="30">
        <v>45000000</v>
      </c>
      <c r="U585" s="16" t="s">
        <v>22</v>
      </c>
      <c r="V585" s="20">
        <v>0</v>
      </c>
      <c r="W585" s="16">
        <v>0</v>
      </c>
      <c r="X585" s="16">
        <v>0</v>
      </c>
      <c r="Y585" s="16">
        <v>70</v>
      </c>
      <c r="Z585" s="16">
        <v>30</v>
      </c>
      <c r="AA585" s="16">
        <v>0</v>
      </c>
      <c r="AB585" s="16">
        <v>0</v>
      </c>
      <c r="AC585" s="16" t="s">
        <v>1692</v>
      </c>
      <c r="AD585" s="68"/>
      <c r="AE585" s="23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</row>
    <row r="586" spans="1:84" s="2" customFormat="1" ht="20" x14ac:dyDescent="0.2">
      <c r="A586" s="17" t="s">
        <v>3921</v>
      </c>
      <c r="B586" s="17" t="s">
        <v>45</v>
      </c>
      <c r="C586" s="17">
        <v>2025</v>
      </c>
      <c r="D586" s="17" t="str">
        <f t="array" ref="D586">_xlfn.SWITCH(E586,"Bagor","35.18.14","Sukomoro",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86" s="16" t="s">
        <v>92</v>
      </c>
      <c r="F586" s="33" t="s">
        <v>1693</v>
      </c>
      <c r="G586" s="33" t="s">
        <v>1694</v>
      </c>
      <c r="H586" s="16" t="s">
        <v>81</v>
      </c>
      <c r="I586" s="16">
        <v>2</v>
      </c>
      <c r="J586" s="16">
        <v>0</v>
      </c>
      <c r="K586" s="16">
        <f t="shared" si="11"/>
        <v>2</v>
      </c>
      <c r="L586" s="38">
        <v>150000000</v>
      </c>
      <c r="M586" s="17" t="s">
        <v>1695</v>
      </c>
      <c r="N586" s="67">
        <f>15*12</f>
        <v>180</v>
      </c>
      <c r="O586" s="16" t="s">
        <v>382</v>
      </c>
      <c r="P586" s="30">
        <v>270000000</v>
      </c>
      <c r="Q586" s="33" t="s">
        <v>1696</v>
      </c>
      <c r="R586" s="67">
        <v>120</v>
      </c>
      <c r="S586" s="16" t="s">
        <v>1697</v>
      </c>
      <c r="T586" s="30">
        <v>72000000</v>
      </c>
      <c r="U586" s="16" t="s">
        <v>22</v>
      </c>
      <c r="V586" s="20">
        <v>0</v>
      </c>
      <c r="W586" s="16">
        <v>0</v>
      </c>
      <c r="X586" s="16">
        <v>0</v>
      </c>
      <c r="Y586" s="16">
        <v>80</v>
      </c>
      <c r="Z586" s="16">
        <v>20</v>
      </c>
      <c r="AA586" s="16">
        <v>0</v>
      </c>
      <c r="AB586" s="16">
        <v>0</v>
      </c>
      <c r="AC586" s="16" t="s">
        <v>1698</v>
      </c>
      <c r="AD586" s="68"/>
      <c r="AE586" s="23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</row>
    <row r="587" spans="1:84" s="2" customFormat="1" x14ac:dyDescent="0.2">
      <c r="A587" s="17" t="s">
        <v>3921</v>
      </c>
      <c r="B587" s="17" t="s">
        <v>45</v>
      </c>
      <c r="C587" s="17">
        <v>2025</v>
      </c>
      <c r="D587" s="17" t="str">
        <f t="array" ref="D587">_xlfn.SWITCH(E587,"Bagor","35.18.14","Sukomoro",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87" s="16" t="s">
        <v>92</v>
      </c>
      <c r="F587" s="33" t="s">
        <v>1699</v>
      </c>
      <c r="G587" s="33" t="s">
        <v>1700</v>
      </c>
      <c r="H587" s="16" t="s">
        <v>31</v>
      </c>
      <c r="I587" s="16">
        <v>1</v>
      </c>
      <c r="J587" s="16">
        <v>0</v>
      </c>
      <c r="K587" s="16">
        <f t="shared" si="11"/>
        <v>1</v>
      </c>
      <c r="L587" s="38">
        <v>30000000</v>
      </c>
      <c r="M587" s="17" t="s">
        <v>1514</v>
      </c>
      <c r="N587" s="67">
        <v>60</v>
      </c>
      <c r="O587" s="16" t="s">
        <v>69</v>
      </c>
      <c r="P587" s="30">
        <v>150000000</v>
      </c>
      <c r="Q587" s="33" t="s">
        <v>1680</v>
      </c>
      <c r="R587" s="38">
        <v>30</v>
      </c>
      <c r="S587" s="16" t="s">
        <v>51</v>
      </c>
      <c r="T587" s="30">
        <v>22500000</v>
      </c>
      <c r="U587" s="16" t="s">
        <v>22</v>
      </c>
      <c r="V587" s="20" t="s">
        <v>1677</v>
      </c>
      <c r="W587" s="16"/>
      <c r="X587" s="16"/>
      <c r="Y587" s="16">
        <v>75</v>
      </c>
      <c r="Z587" s="16">
        <v>25</v>
      </c>
      <c r="AA587" s="16">
        <v>0</v>
      </c>
      <c r="AB587" s="16">
        <v>0</v>
      </c>
      <c r="AC587" s="16"/>
      <c r="AD587" s="68"/>
      <c r="AE587" s="23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</row>
    <row r="588" spans="1:84" s="2" customFormat="1" ht="20" x14ac:dyDescent="0.2">
      <c r="A588" s="17" t="s">
        <v>3921</v>
      </c>
      <c r="B588" s="17" t="s">
        <v>45</v>
      </c>
      <c r="C588" s="17">
        <v>2025</v>
      </c>
      <c r="D588" s="17" t="str">
        <f t="array" ref="D588">_xlfn.SWITCH(E588,"Bagor","35.18.14","Sukomoro",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588" s="16" t="s">
        <v>103</v>
      </c>
      <c r="F588" s="33" t="s">
        <v>1701</v>
      </c>
      <c r="G588" s="33" t="s">
        <v>1702</v>
      </c>
      <c r="H588" s="16" t="s">
        <v>31</v>
      </c>
      <c r="I588" s="16">
        <v>10</v>
      </c>
      <c r="J588" s="16">
        <v>0</v>
      </c>
      <c r="K588" s="16">
        <f t="shared" si="11"/>
        <v>10</v>
      </c>
      <c r="L588" s="38">
        <v>175000000</v>
      </c>
      <c r="M588" s="17" t="s">
        <v>1703</v>
      </c>
      <c r="N588" s="67">
        <v>2060</v>
      </c>
      <c r="O588" s="16" t="s">
        <v>422</v>
      </c>
      <c r="P588" s="30">
        <v>515000000</v>
      </c>
      <c r="Q588" s="33" t="s">
        <v>1704</v>
      </c>
      <c r="R588" s="38">
        <v>120</v>
      </c>
      <c r="S588" s="16" t="s">
        <v>962</v>
      </c>
      <c r="T588" s="30">
        <v>120000000</v>
      </c>
      <c r="U588" s="16" t="s">
        <v>22</v>
      </c>
      <c r="V588" s="20" t="s">
        <v>50</v>
      </c>
      <c r="W588" s="16">
        <v>65</v>
      </c>
      <c r="X588" s="16" t="s">
        <v>51</v>
      </c>
      <c r="Y588" s="16">
        <v>80</v>
      </c>
      <c r="Z588" s="16">
        <v>20</v>
      </c>
      <c r="AA588" s="16">
        <v>0</v>
      </c>
      <c r="AB588" s="16">
        <v>0</v>
      </c>
      <c r="AC588" s="16"/>
      <c r="AD588" s="68"/>
      <c r="AE588" s="23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</row>
    <row r="589" spans="1:84" s="2" customFormat="1" x14ac:dyDescent="0.2">
      <c r="A589" s="17" t="s">
        <v>3921</v>
      </c>
      <c r="B589" s="17" t="s">
        <v>45</v>
      </c>
      <c r="C589" s="17">
        <v>2025</v>
      </c>
      <c r="D589" s="17" t="str">
        <f t="array" ref="D589">_xlfn.SWITCH(E589,"Bagor","35.18.14","Sukomoro",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89" s="16" t="s">
        <v>71</v>
      </c>
      <c r="F589" s="33" t="s">
        <v>1705</v>
      </c>
      <c r="G589" s="33" t="s">
        <v>1706</v>
      </c>
      <c r="H589" s="16" t="s">
        <v>31</v>
      </c>
      <c r="I589" s="16">
        <v>2</v>
      </c>
      <c r="J589" s="16">
        <v>0</v>
      </c>
      <c r="K589" s="16">
        <f t="shared" si="11"/>
        <v>2</v>
      </c>
      <c r="L589" s="38">
        <v>60000000</v>
      </c>
      <c r="M589" s="17" t="s">
        <v>354</v>
      </c>
      <c r="N589" s="67">
        <f>24*26*12</f>
        <v>7488</v>
      </c>
      <c r="O589" s="16" t="s">
        <v>422</v>
      </c>
      <c r="P589" s="30">
        <v>771264000</v>
      </c>
      <c r="Q589" s="33" t="s">
        <v>1707</v>
      </c>
      <c r="R589" s="38">
        <f>1*26*12</f>
        <v>312</v>
      </c>
      <c r="S589" s="16" t="s">
        <v>962</v>
      </c>
      <c r="T589" s="30">
        <v>624000000</v>
      </c>
      <c r="U589" s="16" t="s">
        <v>22</v>
      </c>
      <c r="V589" s="20" t="s">
        <v>50</v>
      </c>
      <c r="W589" s="16">
        <v>110</v>
      </c>
      <c r="X589" s="16" t="s">
        <v>51</v>
      </c>
      <c r="Y589" s="16">
        <v>50</v>
      </c>
      <c r="Z589" s="16">
        <v>50</v>
      </c>
      <c r="AA589" s="16">
        <v>0</v>
      </c>
      <c r="AB589" s="16">
        <v>0</v>
      </c>
      <c r="AC589" s="16"/>
      <c r="AD589" s="68"/>
      <c r="AE589" s="23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</row>
    <row r="590" spans="1:84" s="2" customFormat="1" x14ac:dyDescent="0.2">
      <c r="A590" s="17" t="s">
        <v>3921</v>
      </c>
      <c r="B590" s="17" t="s">
        <v>45</v>
      </c>
      <c r="C590" s="17">
        <v>2025</v>
      </c>
      <c r="D590" s="17" t="str">
        <f t="array" ref="D590">_xlfn.SWITCH(E590,"Bagor","35.18.14","Sukomoro",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90" s="16" t="s">
        <v>71</v>
      </c>
      <c r="F590" s="33" t="s">
        <v>1705</v>
      </c>
      <c r="G590" s="33" t="s">
        <v>1708</v>
      </c>
      <c r="H590" s="16" t="s">
        <v>47</v>
      </c>
      <c r="I590" s="16">
        <v>8</v>
      </c>
      <c r="J590" s="16">
        <v>0</v>
      </c>
      <c r="K590" s="16">
        <f t="shared" si="11"/>
        <v>8</v>
      </c>
      <c r="L590" s="38">
        <v>13000000</v>
      </c>
      <c r="M590" s="17" t="s">
        <v>72</v>
      </c>
      <c r="N590" s="67">
        <v>20</v>
      </c>
      <c r="O590" s="16" t="s">
        <v>69</v>
      </c>
      <c r="P590" s="30">
        <v>40000000</v>
      </c>
      <c r="Q590" s="33" t="s">
        <v>212</v>
      </c>
      <c r="R590" s="38">
        <v>15</v>
      </c>
      <c r="S590" s="16" t="s">
        <v>69</v>
      </c>
      <c r="T590" s="30">
        <v>22500000</v>
      </c>
      <c r="U590" s="16" t="s">
        <v>22</v>
      </c>
      <c r="V590" s="20" t="s">
        <v>1677</v>
      </c>
      <c r="W590" s="16"/>
      <c r="X590" s="16"/>
      <c r="Y590" s="16">
        <v>35</v>
      </c>
      <c r="Z590" s="16">
        <v>30</v>
      </c>
      <c r="AA590" s="16">
        <v>35</v>
      </c>
      <c r="AB590" s="16">
        <v>0</v>
      </c>
      <c r="AC590" s="16" t="s">
        <v>1709</v>
      </c>
      <c r="AD590" s="68"/>
      <c r="AE590" s="23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</row>
    <row r="591" spans="1:84" s="2" customFormat="1" x14ac:dyDescent="0.2">
      <c r="A591" s="17" t="s">
        <v>3921</v>
      </c>
      <c r="B591" s="17" t="s">
        <v>45</v>
      </c>
      <c r="C591" s="17">
        <v>2025</v>
      </c>
      <c r="D591" s="17" t="str">
        <f t="array" ref="D591">_xlfn.SWITCH(E591,"Bagor","35.18.14","Sukomoro",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91" s="16" t="s">
        <v>71</v>
      </c>
      <c r="F591" s="33" t="s">
        <v>1710</v>
      </c>
      <c r="G591" s="33" t="s">
        <v>1711</v>
      </c>
      <c r="H591" s="16" t="s">
        <v>31</v>
      </c>
      <c r="I591" s="16">
        <v>8</v>
      </c>
      <c r="J591" s="16">
        <v>0</v>
      </c>
      <c r="K591" s="16">
        <f t="shared" si="11"/>
        <v>8</v>
      </c>
      <c r="L591" s="38">
        <v>80000000</v>
      </c>
      <c r="M591" s="17" t="s">
        <v>354</v>
      </c>
      <c r="N591" s="67">
        <f>22*26*12</f>
        <v>6864</v>
      </c>
      <c r="O591" s="16" t="s">
        <v>422</v>
      </c>
      <c r="P591" s="30">
        <v>720720000</v>
      </c>
      <c r="Q591" s="33" t="s">
        <v>1707</v>
      </c>
      <c r="R591" s="38">
        <f>2*26*12</f>
        <v>624</v>
      </c>
      <c r="S591" s="16" t="s">
        <v>962</v>
      </c>
      <c r="T591" s="30">
        <v>624000000</v>
      </c>
      <c r="U591" s="16" t="s">
        <v>22</v>
      </c>
      <c r="V591" s="20" t="s">
        <v>50</v>
      </c>
      <c r="W591" s="16">
        <v>340</v>
      </c>
      <c r="X591" s="16" t="s">
        <v>51</v>
      </c>
      <c r="Y591" s="16">
        <v>70</v>
      </c>
      <c r="Z591" s="16">
        <v>30</v>
      </c>
      <c r="AA591" s="16">
        <v>0</v>
      </c>
      <c r="AB591" s="16">
        <v>0</v>
      </c>
      <c r="AC591" s="16"/>
      <c r="AD591" s="68"/>
      <c r="AE591" s="23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</row>
    <row r="592" spans="1:84" s="2" customFormat="1" ht="20" x14ac:dyDescent="0.2">
      <c r="A592" s="17" t="s">
        <v>3921</v>
      </c>
      <c r="B592" s="17" t="s">
        <v>45</v>
      </c>
      <c r="C592" s="17">
        <v>2025</v>
      </c>
      <c r="D592" s="17" t="str">
        <f t="array" ref="D592">_xlfn.SWITCH(E592,"Bagor","35.18.14","Sukomoro",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92" s="16" t="s">
        <v>71</v>
      </c>
      <c r="F592" s="33" t="s">
        <v>1712</v>
      </c>
      <c r="G592" s="33" t="s">
        <v>1713</v>
      </c>
      <c r="H592" s="16" t="s">
        <v>31</v>
      </c>
      <c r="I592" s="16">
        <v>2</v>
      </c>
      <c r="J592" s="16">
        <v>0</v>
      </c>
      <c r="K592" s="16">
        <f t="shared" si="11"/>
        <v>2</v>
      </c>
      <c r="L592" s="38">
        <v>50000000</v>
      </c>
      <c r="M592" s="17" t="s">
        <v>354</v>
      </c>
      <c r="N592" s="67">
        <f>12*26*12</f>
        <v>3744</v>
      </c>
      <c r="O592" s="16" t="s">
        <v>422</v>
      </c>
      <c r="P592" s="30">
        <v>381888000</v>
      </c>
      <c r="Q592" s="33" t="s">
        <v>1707</v>
      </c>
      <c r="R592" s="38">
        <f>5*26*12</f>
        <v>1560</v>
      </c>
      <c r="S592" s="16" t="s">
        <v>962</v>
      </c>
      <c r="T592" s="30">
        <v>312000000</v>
      </c>
      <c r="U592" s="16" t="s">
        <v>22</v>
      </c>
      <c r="V592" s="20" t="s">
        <v>50</v>
      </c>
      <c r="W592" s="16">
        <v>800</v>
      </c>
      <c r="X592" s="16" t="s">
        <v>51</v>
      </c>
      <c r="Y592" s="16">
        <v>30</v>
      </c>
      <c r="Z592" s="16">
        <v>30</v>
      </c>
      <c r="AA592" s="16">
        <v>40</v>
      </c>
      <c r="AB592" s="16">
        <v>0</v>
      </c>
      <c r="AC592" s="16"/>
      <c r="AD592" s="68"/>
      <c r="AE592" s="23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</row>
    <row r="593" spans="1:84" s="2" customFormat="1" ht="20" x14ac:dyDescent="0.2">
      <c r="A593" s="17" t="s">
        <v>3921</v>
      </c>
      <c r="B593" s="17" t="s">
        <v>45</v>
      </c>
      <c r="C593" s="17">
        <v>2025</v>
      </c>
      <c r="D593" s="17" t="str">
        <f t="array" ref="D593">_xlfn.SWITCH(E593,"Bagor","35.18.14","Sukomoro",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93" s="16" t="s">
        <v>71</v>
      </c>
      <c r="F593" s="33" t="s">
        <v>1714</v>
      </c>
      <c r="G593" s="33" t="s">
        <v>1715</v>
      </c>
      <c r="H593" s="16" t="s">
        <v>47</v>
      </c>
      <c r="I593" s="16">
        <v>4</v>
      </c>
      <c r="J593" s="16">
        <v>0</v>
      </c>
      <c r="K593" s="16">
        <f t="shared" si="11"/>
        <v>4</v>
      </c>
      <c r="L593" s="38">
        <v>50000000</v>
      </c>
      <c r="M593" s="17" t="s">
        <v>354</v>
      </c>
      <c r="N593" s="67">
        <f>12*26*12</f>
        <v>3744</v>
      </c>
      <c r="O593" s="16" t="s">
        <v>422</v>
      </c>
      <c r="P593" s="30">
        <v>393120000</v>
      </c>
      <c r="Q593" s="33" t="s">
        <v>1707</v>
      </c>
      <c r="R593" s="38">
        <f>4*26*12</f>
        <v>1248</v>
      </c>
      <c r="S593" s="16" t="s">
        <v>962</v>
      </c>
      <c r="T593" s="30">
        <v>249600000</v>
      </c>
      <c r="U593" s="16" t="s">
        <v>22</v>
      </c>
      <c r="V593" s="20" t="s">
        <v>50</v>
      </c>
      <c r="W593" s="16">
        <v>650</v>
      </c>
      <c r="X593" s="16" t="s">
        <v>51</v>
      </c>
      <c r="Y593" s="16">
        <v>75</v>
      </c>
      <c r="Z593" s="16">
        <v>25</v>
      </c>
      <c r="AA593" s="16">
        <v>0</v>
      </c>
      <c r="AB593" s="16">
        <v>0</v>
      </c>
      <c r="AC593" s="16"/>
      <c r="AD593" s="68"/>
      <c r="AE593" s="23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</row>
    <row r="594" spans="1:84" s="2" customFormat="1" ht="20" x14ac:dyDescent="0.2">
      <c r="A594" s="17" t="s">
        <v>3921</v>
      </c>
      <c r="B594" s="17" t="s">
        <v>45</v>
      </c>
      <c r="C594" s="17">
        <v>2025</v>
      </c>
      <c r="D594" s="17" t="str">
        <f t="array" ref="D594">_xlfn.SWITCH(E594,"Bagor","35.18.14","Sukomoro",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94" s="16" t="s">
        <v>92</v>
      </c>
      <c r="F594" s="33" t="s">
        <v>1496</v>
      </c>
      <c r="G594" s="33" t="s">
        <v>1716</v>
      </c>
      <c r="H594" s="16" t="s">
        <v>47</v>
      </c>
      <c r="I594" s="16">
        <v>14</v>
      </c>
      <c r="J594" s="16">
        <v>0</v>
      </c>
      <c r="K594" s="16">
        <f t="shared" si="11"/>
        <v>14</v>
      </c>
      <c r="L594" s="38">
        <v>60000000</v>
      </c>
      <c r="M594" s="17" t="s">
        <v>1717</v>
      </c>
      <c r="N594" s="67">
        <f>30*12</f>
        <v>360</v>
      </c>
      <c r="O594" s="16" t="s">
        <v>962</v>
      </c>
      <c r="P594" s="30">
        <v>252000000</v>
      </c>
      <c r="Q594" s="33" t="s">
        <v>1718</v>
      </c>
      <c r="R594" s="38">
        <f>30*12</f>
        <v>360</v>
      </c>
      <c r="S594" s="16" t="s">
        <v>962</v>
      </c>
      <c r="T594" s="30">
        <v>180000000</v>
      </c>
      <c r="U594" s="16" t="s">
        <v>22</v>
      </c>
      <c r="V594" s="20" t="s">
        <v>1677</v>
      </c>
      <c r="W594" s="16"/>
      <c r="X594" s="16"/>
      <c r="Y594" s="16">
        <v>50</v>
      </c>
      <c r="Z594" s="16">
        <v>30</v>
      </c>
      <c r="AA594" s="16">
        <v>20</v>
      </c>
      <c r="AB594" s="16">
        <v>0</v>
      </c>
      <c r="AC594" s="16"/>
      <c r="AD594" s="68"/>
      <c r="AE594" s="23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</row>
    <row r="595" spans="1:84" s="2" customFormat="1" x14ac:dyDescent="0.2">
      <c r="A595" s="17" t="s">
        <v>3921</v>
      </c>
      <c r="B595" s="17" t="s">
        <v>45</v>
      </c>
      <c r="C595" s="17">
        <v>2025</v>
      </c>
      <c r="D595" s="17" t="str">
        <f t="array" ref="D595">_xlfn.SWITCH(E595,"Bagor","35.18.14","Sukomoro",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95" s="16" t="s">
        <v>92</v>
      </c>
      <c r="F595" s="33" t="s">
        <v>1188</v>
      </c>
      <c r="G595" s="33" t="s">
        <v>1716</v>
      </c>
      <c r="H595" s="16" t="s">
        <v>47</v>
      </c>
      <c r="I595" s="16">
        <v>3</v>
      </c>
      <c r="J595" s="16">
        <v>0</v>
      </c>
      <c r="K595" s="16">
        <f t="shared" si="11"/>
        <v>3</v>
      </c>
      <c r="L595" s="38">
        <v>97500000</v>
      </c>
      <c r="M595" s="17" t="s">
        <v>1518</v>
      </c>
      <c r="N595" s="67">
        <v>30</v>
      </c>
      <c r="O595" s="16" t="s">
        <v>1719</v>
      </c>
      <c r="P595" s="30">
        <v>165000000</v>
      </c>
      <c r="Q595" s="33" t="s">
        <v>50</v>
      </c>
      <c r="R595" s="38">
        <v>30</v>
      </c>
      <c r="S595" s="16" t="s">
        <v>962</v>
      </c>
      <c r="T595" s="30">
        <v>135000000</v>
      </c>
      <c r="U595" s="16" t="s">
        <v>22</v>
      </c>
      <c r="V595" s="20">
        <v>0</v>
      </c>
      <c r="W595" s="16">
        <v>0</v>
      </c>
      <c r="X595" s="16">
        <v>0</v>
      </c>
      <c r="Y595" s="16">
        <v>50</v>
      </c>
      <c r="Z595" s="16">
        <v>50</v>
      </c>
      <c r="AA595" s="16">
        <v>0</v>
      </c>
      <c r="AB595" s="16">
        <v>0</v>
      </c>
      <c r="AC595" s="16"/>
      <c r="AD595" s="68"/>
      <c r="AE595" s="23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</row>
    <row r="596" spans="1:84" s="2" customFormat="1" x14ac:dyDescent="0.2">
      <c r="A596" s="17" t="s">
        <v>3921</v>
      </c>
      <c r="B596" s="17" t="s">
        <v>45</v>
      </c>
      <c r="C596" s="17">
        <v>2025</v>
      </c>
      <c r="D596" s="17" t="str">
        <f t="array" ref="D596">_xlfn.SWITCH(E596,"Bagor","35.18.14","Sukomoro",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96" s="16" t="s">
        <v>157</v>
      </c>
      <c r="F596" s="33" t="s">
        <v>1720</v>
      </c>
      <c r="G596" s="33" t="s">
        <v>1721</v>
      </c>
      <c r="H596" s="16" t="s">
        <v>47</v>
      </c>
      <c r="I596" s="16">
        <v>1</v>
      </c>
      <c r="J596" s="16">
        <v>0</v>
      </c>
      <c r="K596" s="16">
        <f t="shared" si="11"/>
        <v>1</v>
      </c>
      <c r="L596" s="38">
        <v>30000000</v>
      </c>
      <c r="M596" s="17" t="s">
        <v>72</v>
      </c>
      <c r="N596" s="67">
        <v>10</v>
      </c>
      <c r="O596" s="16" t="s">
        <v>69</v>
      </c>
      <c r="P596" s="30">
        <v>50000000</v>
      </c>
      <c r="Q596" s="33" t="s">
        <v>1722</v>
      </c>
      <c r="R596" s="38">
        <v>10</v>
      </c>
      <c r="S596" s="16" t="s">
        <v>69</v>
      </c>
      <c r="T596" s="30">
        <v>30000000</v>
      </c>
      <c r="U596" s="16" t="s">
        <v>22</v>
      </c>
      <c r="V596" s="20">
        <v>0</v>
      </c>
      <c r="W596" s="16">
        <v>0</v>
      </c>
      <c r="X596" s="16">
        <v>0</v>
      </c>
      <c r="Y596" s="16">
        <v>50</v>
      </c>
      <c r="Z596" s="16">
        <v>50</v>
      </c>
      <c r="AA596" s="16">
        <v>0</v>
      </c>
      <c r="AB596" s="16">
        <v>0</v>
      </c>
      <c r="AC596" s="16" t="s">
        <v>1723</v>
      </c>
      <c r="AD596" s="68"/>
      <c r="AE596" s="23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</row>
    <row r="597" spans="1:84" s="2" customFormat="1" x14ac:dyDescent="0.2">
      <c r="A597" s="17" t="s">
        <v>3921</v>
      </c>
      <c r="B597" s="17" t="s">
        <v>45</v>
      </c>
      <c r="C597" s="17">
        <v>2025</v>
      </c>
      <c r="D597" s="17" t="str">
        <f t="array" ref="D597">_xlfn.SWITCH(E597,"Bagor","35.18.14","Sukomoro",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597" s="16" t="s">
        <v>162</v>
      </c>
      <c r="F597" s="33" t="s">
        <v>1724</v>
      </c>
      <c r="G597" s="33" t="s">
        <v>1725</v>
      </c>
      <c r="H597" s="16" t="s">
        <v>47</v>
      </c>
      <c r="I597" s="16">
        <v>4</v>
      </c>
      <c r="J597" s="16">
        <v>0</v>
      </c>
      <c r="K597" s="16">
        <f t="shared" si="11"/>
        <v>4</v>
      </c>
      <c r="L597" s="38">
        <v>61500000</v>
      </c>
      <c r="M597" s="17" t="s">
        <v>108</v>
      </c>
      <c r="N597" s="67">
        <f>20*12</f>
        <v>240</v>
      </c>
      <c r="O597" s="16" t="s">
        <v>1719</v>
      </c>
      <c r="P597" s="30">
        <v>480000000</v>
      </c>
      <c r="Q597" s="33" t="s">
        <v>50</v>
      </c>
      <c r="R597" s="38">
        <v>75</v>
      </c>
      <c r="S597" s="16" t="s">
        <v>1719</v>
      </c>
      <c r="T597" s="30">
        <v>375000000</v>
      </c>
      <c r="U597" s="16" t="s">
        <v>22</v>
      </c>
      <c r="V597" s="20">
        <v>0</v>
      </c>
      <c r="W597" s="16">
        <v>0</v>
      </c>
      <c r="X597" s="16">
        <v>0</v>
      </c>
      <c r="Y597" s="16">
        <v>50</v>
      </c>
      <c r="Z597" s="16">
        <v>50</v>
      </c>
      <c r="AA597" s="16">
        <v>0</v>
      </c>
      <c r="AB597" s="16">
        <v>0</v>
      </c>
      <c r="AC597" s="16" t="s">
        <v>1726</v>
      </c>
      <c r="AD597" s="68"/>
      <c r="AE597" s="23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</row>
    <row r="598" spans="1:84" s="2" customFormat="1" x14ac:dyDescent="0.2">
      <c r="A598" s="17" t="s">
        <v>3921</v>
      </c>
      <c r="B598" s="17" t="s">
        <v>45</v>
      </c>
      <c r="C598" s="17">
        <v>2025</v>
      </c>
      <c r="D598" s="17" t="str">
        <f t="array" ref="D598">_xlfn.SWITCH(E598,"Bagor","35.18.14","Sukomoro",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598" s="16" t="s">
        <v>162</v>
      </c>
      <c r="F598" s="33" t="s">
        <v>1727</v>
      </c>
      <c r="G598" s="33" t="s">
        <v>1728</v>
      </c>
      <c r="H598" s="16" t="s">
        <v>47</v>
      </c>
      <c r="I598" s="16">
        <v>4</v>
      </c>
      <c r="J598" s="16">
        <v>2</v>
      </c>
      <c r="K598" s="16">
        <f t="shared" si="11"/>
        <v>6</v>
      </c>
      <c r="L598" s="38">
        <v>83520000</v>
      </c>
      <c r="M598" s="17" t="s">
        <v>1729</v>
      </c>
      <c r="N598" s="67">
        <v>600</v>
      </c>
      <c r="O598" s="16" t="s">
        <v>962</v>
      </c>
      <c r="P598" s="30">
        <v>174000000</v>
      </c>
      <c r="Q598" s="33" t="s">
        <v>1620</v>
      </c>
      <c r="R598" s="38">
        <v>720</v>
      </c>
      <c r="S598" s="16" t="s">
        <v>962</v>
      </c>
      <c r="T598" s="30">
        <v>151200000</v>
      </c>
      <c r="U598" s="16" t="s">
        <v>22</v>
      </c>
      <c r="V598" s="20">
        <v>0</v>
      </c>
      <c r="W598" s="16">
        <v>0</v>
      </c>
      <c r="X598" s="16">
        <v>0</v>
      </c>
      <c r="Y598" s="16">
        <v>50</v>
      </c>
      <c r="Z598" s="16">
        <v>50</v>
      </c>
      <c r="AA598" s="16">
        <v>0</v>
      </c>
      <c r="AB598" s="16">
        <v>0</v>
      </c>
      <c r="AC598" s="16"/>
      <c r="AD598" s="68"/>
      <c r="AE598" s="23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</row>
    <row r="599" spans="1:84" s="2" customFormat="1" ht="20" x14ac:dyDescent="0.2">
      <c r="A599" s="17" t="s">
        <v>3921</v>
      </c>
      <c r="B599" s="17" t="s">
        <v>45</v>
      </c>
      <c r="C599" s="17">
        <v>2025</v>
      </c>
      <c r="D599" s="17" t="str">
        <f t="array" ref="D599">_xlfn.SWITCH(E599,"Jatikalen","35.18.20","Kertosono", "35.18.08","Lengkong","35.18.19","Loceret","35.18.04","Tanjunganom","35.18.11","Wilangan","35.18.15")</f>
        <v>35.18.11</v>
      </c>
      <c r="E599" s="16" t="s">
        <v>60</v>
      </c>
      <c r="F599" s="33" t="s">
        <v>1730</v>
      </c>
      <c r="G599" s="33" t="s">
        <v>1731</v>
      </c>
      <c r="H599" s="16" t="s">
        <v>47</v>
      </c>
      <c r="I599" s="16">
        <v>7</v>
      </c>
      <c r="J599" s="16">
        <v>0</v>
      </c>
      <c r="K599" s="16">
        <f t="shared" si="11"/>
        <v>7</v>
      </c>
      <c r="L599" s="38">
        <v>400000000</v>
      </c>
      <c r="M599" s="17" t="s">
        <v>1729</v>
      </c>
      <c r="N599" s="67">
        <v>200</v>
      </c>
      <c r="O599" s="16" t="s">
        <v>962</v>
      </c>
      <c r="P599" s="30">
        <v>570000000</v>
      </c>
      <c r="Q599" s="33" t="s">
        <v>1620</v>
      </c>
      <c r="R599" s="38">
        <v>250</v>
      </c>
      <c r="S599" s="16" t="s">
        <v>962</v>
      </c>
      <c r="T599" s="30">
        <v>525000000</v>
      </c>
      <c r="U599" s="16" t="s">
        <v>22</v>
      </c>
      <c r="V599" s="20">
        <v>0</v>
      </c>
      <c r="W599" s="16">
        <v>0</v>
      </c>
      <c r="X599" s="16">
        <v>0</v>
      </c>
      <c r="Y599" s="16">
        <v>35</v>
      </c>
      <c r="Z599" s="16">
        <v>35</v>
      </c>
      <c r="AA599" s="16">
        <v>30</v>
      </c>
      <c r="AB599" s="16">
        <v>0</v>
      </c>
      <c r="AC599" s="16" t="s">
        <v>1732</v>
      </c>
      <c r="AD599" s="68"/>
      <c r="AE599" s="23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</row>
    <row r="600" spans="1:84" s="2" customFormat="1" x14ac:dyDescent="0.2">
      <c r="A600" s="17" t="s">
        <v>3921</v>
      </c>
      <c r="B600" s="17" t="s">
        <v>45</v>
      </c>
      <c r="C600" s="17">
        <v>2025</v>
      </c>
      <c r="D600" s="17" t="str">
        <f t="array" ref="D600">_xlfn.SWITCH(E600,"Bagor","35.18.14","Sukomoro",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00" s="16" t="s">
        <v>114</v>
      </c>
      <c r="F600" s="33" t="s">
        <v>1733</v>
      </c>
      <c r="G600" s="33" t="s">
        <v>1734</v>
      </c>
      <c r="H600" s="16" t="s">
        <v>31</v>
      </c>
      <c r="I600" s="16">
        <v>3</v>
      </c>
      <c r="J600" s="16">
        <v>0</v>
      </c>
      <c r="K600" s="16">
        <f t="shared" si="11"/>
        <v>3</v>
      </c>
      <c r="L600" s="38">
        <v>5000000</v>
      </c>
      <c r="M600" s="17" t="s">
        <v>72</v>
      </c>
      <c r="N600" s="67">
        <v>10</v>
      </c>
      <c r="O600" s="16" t="s">
        <v>69</v>
      </c>
      <c r="P600" s="30">
        <v>25000000</v>
      </c>
      <c r="Q600" s="33" t="s">
        <v>50</v>
      </c>
      <c r="R600" s="38">
        <v>10</v>
      </c>
      <c r="S600" s="16" t="s">
        <v>69</v>
      </c>
      <c r="T600" s="30">
        <v>10000000</v>
      </c>
      <c r="U600" s="16" t="s">
        <v>22</v>
      </c>
      <c r="V600" s="20">
        <v>0</v>
      </c>
      <c r="W600" s="16">
        <v>0</v>
      </c>
      <c r="X600" s="16">
        <v>0</v>
      </c>
      <c r="Y600" s="16">
        <v>40</v>
      </c>
      <c r="Z600" s="16">
        <v>30</v>
      </c>
      <c r="AA600" s="16">
        <v>30</v>
      </c>
      <c r="AB600" s="16">
        <v>0</v>
      </c>
      <c r="AC600" s="16"/>
      <c r="AD600" s="68"/>
      <c r="AE600" s="23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</row>
    <row r="601" spans="1:84" s="2" customFormat="1" x14ac:dyDescent="0.2">
      <c r="A601" s="17" t="s">
        <v>3921</v>
      </c>
      <c r="B601" s="17" t="s">
        <v>45</v>
      </c>
      <c r="C601" s="17">
        <v>2025</v>
      </c>
      <c r="D601" s="17" t="str">
        <f t="array" ref="D601">_xlfn.SWITCH(E601,"Bagor","35.18.14","Sukomoro",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01" s="16" t="s">
        <v>114</v>
      </c>
      <c r="F601" s="33" t="s">
        <v>1735</v>
      </c>
      <c r="G601" s="33" t="s">
        <v>1736</v>
      </c>
      <c r="H601" s="16" t="s">
        <v>47</v>
      </c>
      <c r="I601" s="16">
        <v>1</v>
      </c>
      <c r="J601" s="16">
        <v>0</v>
      </c>
      <c r="K601" s="16">
        <f t="shared" si="11"/>
        <v>1</v>
      </c>
      <c r="L601" s="38">
        <v>2000000</v>
      </c>
      <c r="M601" s="17" t="s">
        <v>1737</v>
      </c>
      <c r="N601" s="67">
        <v>40</v>
      </c>
      <c r="O601" s="16" t="s">
        <v>1738</v>
      </c>
      <c r="P601" s="30">
        <v>10000000</v>
      </c>
      <c r="Q601" s="33" t="s">
        <v>1739</v>
      </c>
      <c r="R601" s="38">
        <v>40</v>
      </c>
      <c r="S601" s="16" t="s">
        <v>1738</v>
      </c>
      <c r="T601" s="30">
        <v>3600000</v>
      </c>
      <c r="U601" s="16" t="s">
        <v>22</v>
      </c>
      <c r="V601" s="20">
        <v>0</v>
      </c>
      <c r="W601" s="16">
        <v>0</v>
      </c>
      <c r="X601" s="16">
        <v>0</v>
      </c>
      <c r="Y601" s="16">
        <v>100</v>
      </c>
      <c r="Z601" s="16">
        <v>0</v>
      </c>
      <c r="AA601" s="16">
        <v>0</v>
      </c>
      <c r="AB601" s="16">
        <v>0</v>
      </c>
      <c r="AC601" s="16"/>
      <c r="AD601" s="68"/>
      <c r="AE601" s="23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</row>
    <row r="602" spans="1:84" s="2" customFormat="1" ht="20" x14ac:dyDescent="0.2">
      <c r="A602" s="17" t="s">
        <v>3921</v>
      </c>
      <c r="B602" s="17" t="s">
        <v>45</v>
      </c>
      <c r="C602" s="17">
        <v>2025</v>
      </c>
      <c r="D602" s="17" t="str">
        <f t="array" ref="D602">_xlfn.SWITCH(E602,"Bagor","35.18.14","Sukomoro",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602" s="16" t="s">
        <v>71</v>
      </c>
      <c r="F602" s="33" t="s">
        <v>1740</v>
      </c>
      <c r="G602" s="33" t="s">
        <v>1741</v>
      </c>
      <c r="H602" s="16" t="s">
        <v>47</v>
      </c>
      <c r="I602" s="16">
        <v>10</v>
      </c>
      <c r="J602" s="16">
        <v>0</v>
      </c>
      <c r="K602" s="16">
        <f t="shared" si="11"/>
        <v>10</v>
      </c>
      <c r="L602" s="38">
        <v>300000000</v>
      </c>
      <c r="M602" s="17" t="s">
        <v>354</v>
      </c>
      <c r="N602" s="67">
        <f>20*26*12</f>
        <v>6240</v>
      </c>
      <c r="O602" s="16" t="s">
        <v>422</v>
      </c>
      <c r="P602" s="30">
        <v>655200000</v>
      </c>
      <c r="Q602" s="33" t="s">
        <v>1707</v>
      </c>
      <c r="R602" s="38">
        <f>8*26*12</f>
        <v>2496</v>
      </c>
      <c r="S602" s="16" t="s">
        <v>962</v>
      </c>
      <c r="T602" s="30">
        <v>499200000</v>
      </c>
      <c r="U602" s="16" t="s">
        <v>22</v>
      </c>
      <c r="V602" s="20" t="s">
        <v>57</v>
      </c>
      <c r="W602" s="16">
        <v>1100</v>
      </c>
      <c r="X602" s="16" t="s">
        <v>51</v>
      </c>
      <c r="Y602" s="16">
        <v>100</v>
      </c>
      <c r="Z602" s="16">
        <v>0</v>
      </c>
      <c r="AA602" s="16">
        <v>0</v>
      </c>
      <c r="AB602" s="16">
        <v>0</v>
      </c>
      <c r="AC602" s="16"/>
      <c r="AD602" s="68"/>
      <c r="AE602" s="23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</row>
    <row r="603" spans="1:84" s="2" customFormat="1" ht="20" x14ac:dyDescent="0.2">
      <c r="A603" s="17" t="s">
        <v>3921</v>
      </c>
      <c r="B603" s="17" t="s">
        <v>45</v>
      </c>
      <c r="C603" s="17">
        <v>2025</v>
      </c>
      <c r="D603" s="17" t="str">
        <f t="array" ref="D603">_xlfn.SWITCH(E603,"Bagor","35.18.14","Sukomoro",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603" s="16" t="s">
        <v>71</v>
      </c>
      <c r="F603" s="33" t="s">
        <v>1742</v>
      </c>
      <c r="G603" s="33" t="s">
        <v>1743</v>
      </c>
      <c r="H603" s="16" t="s">
        <v>31</v>
      </c>
      <c r="I603" s="16">
        <v>5</v>
      </c>
      <c r="J603" s="16">
        <v>20</v>
      </c>
      <c r="K603" s="16">
        <f t="shared" si="11"/>
        <v>25</v>
      </c>
      <c r="L603" s="38">
        <v>21000000</v>
      </c>
      <c r="M603" s="17" t="s">
        <v>1744</v>
      </c>
      <c r="N603" s="67">
        <v>5000</v>
      </c>
      <c r="O603" s="16" t="s">
        <v>143</v>
      </c>
      <c r="P603" s="30">
        <f>N603*20000</f>
        <v>100000000</v>
      </c>
      <c r="Q603" s="33" t="s">
        <v>1635</v>
      </c>
      <c r="R603" s="38">
        <f>1.5*26*12</f>
        <v>468</v>
      </c>
      <c r="S603" s="16" t="s">
        <v>422</v>
      </c>
      <c r="T603" s="30">
        <f>R603*5000</f>
        <v>2340000</v>
      </c>
      <c r="U603" s="16" t="s">
        <v>22</v>
      </c>
      <c r="V603" s="20" t="s">
        <v>57</v>
      </c>
      <c r="W603" s="16">
        <v>210</v>
      </c>
      <c r="X603" s="16" t="s">
        <v>51</v>
      </c>
      <c r="Y603" s="16">
        <v>100</v>
      </c>
      <c r="Z603" s="16">
        <v>0</v>
      </c>
      <c r="AA603" s="16">
        <v>0</v>
      </c>
      <c r="AB603" s="16">
        <v>0</v>
      </c>
      <c r="AC603" s="16"/>
      <c r="AD603" s="68"/>
      <c r="AE603" s="23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</row>
    <row r="604" spans="1:84" s="2" customFormat="1" x14ac:dyDescent="0.2">
      <c r="A604" s="17" t="s">
        <v>3921</v>
      </c>
      <c r="B604" s="17" t="s">
        <v>45</v>
      </c>
      <c r="C604" s="17">
        <v>2025</v>
      </c>
      <c r="D604" s="17" t="str">
        <f t="array" ref="D604">_xlfn.SWITCH(E604,"Bagor","35.18.14","Sukomoro",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04" s="16" t="s">
        <v>92</v>
      </c>
      <c r="F604" s="33" t="s">
        <v>1192</v>
      </c>
      <c r="G604" s="33" t="s">
        <v>1745</v>
      </c>
      <c r="H604" s="16" t="s">
        <v>31</v>
      </c>
      <c r="I604" s="16">
        <v>2</v>
      </c>
      <c r="J604" s="16">
        <v>0</v>
      </c>
      <c r="K604" s="16">
        <f t="shared" si="11"/>
        <v>2</v>
      </c>
      <c r="L604" s="38">
        <v>10000000</v>
      </c>
      <c r="M604" s="17" t="s">
        <v>1518</v>
      </c>
      <c r="N604" s="67">
        <f>3*12</f>
        <v>36</v>
      </c>
      <c r="O604" s="16" t="s">
        <v>1719</v>
      </c>
      <c r="P604" s="30">
        <v>144000000</v>
      </c>
      <c r="Q604" s="33" t="s">
        <v>1680</v>
      </c>
      <c r="R604" s="38">
        <v>36</v>
      </c>
      <c r="S604" s="16" t="s">
        <v>69</v>
      </c>
      <c r="T604" s="30">
        <v>90000000</v>
      </c>
      <c r="U604" s="16" t="s">
        <v>22</v>
      </c>
      <c r="V604" s="20" t="s">
        <v>1677</v>
      </c>
      <c r="W604" s="16"/>
      <c r="X604" s="16"/>
      <c r="Y604" s="16">
        <v>65</v>
      </c>
      <c r="Z604" s="16">
        <v>35</v>
      </c>
      <c r="AA604" s="16">
        <v>0</v>
      </c>
      <c r="AB604" s="16">
        <v>0</v>
      </c>
      <c r="AC604" s="16"/>
      <c r="AD604" s="68"/>
      <c r="AE604" s="23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</row>
    <row r="605" spans="1:84" s="2" customFormat="1" x14ac:dyDescent="0.2">
      <c r="A605" s="17" t="s">
        <v>3921</v>
      </c>
      <c r="B605" s="17" t="s">
        <v>45</v>
      </c>
      <c r="C605" s="17">
        <v>2025</v>
      </c>
      <c r="D605" s="17" t="str">
        <f t="array" ref="D605">_xlfn.SWITCH(E605,"Jatikalen","35.18.20","Kertosono", "35.18.08","Lengkong","35.18.19","Loceret","35.18.04","Tanjunganom","35.18.11","Wilangan","35.18.15")</f>
        <v>35.18.11</v>
      </c>
      <c r="E605" s="16" t="s">
        <v>60</v>
      </c>
      <c r="F605" s="33" t="s">
        <v>1746</v>
      </c>
      <c r="G605" s="33" t="s">
        <v>1747</v>
      </c>
      <c r="H605" s="16" t="s">
        <v>31</v>
      </c>
      <c r="I605" s="16">
        <v>2</v>
      </c>
      <c r="J605" s="16">
        <v>0</v>
      </c>
      <c r="K605" s="16">
        <f t="shared" si="11"/>
        <v>2</v>
      </c>
      <c r="L605" s="38">
        <v>20000000</v>
      </c>
      <c r="M605" s="17" t="s">
        <v>72</v>
      </c>
      <c r="N605" s="67">
        <f>4*12</f>
        <v>48</v>
      </c>
      <c r="O605" s="16" t="s">
        <v>69</v>
      </c>
      <c r="P605" s="30">
        <v>120000000</v>
      </c>
      <c r="Q605" s="33" t="s">
        <v>1680</v>
      </c>
      <c r="R605" s="38">
        <f>4*12</f>
        <v>48</v>
      </c>
      <c r="S605" s="16" t="s">
        <v>69</v>
      </c>
      <c r="T605" s="30">
        <v>72000000</v>
      </c>
      <c r="U605" s="16" t="s">
        <v>22</v>
      </c>
      <c r="V605" s="20">
        <v>0</v>
      </c>
      <c r="W605" s="16">
        <v>0</v>
      </c>
      <c r="X605" s="16">
        <v>0</v>
      </c>
      <c r="Y605" s="16">
        <v>70</v>
      </c>
      <c r="Z605" s="16">
        <v>30</v>
      </c>
      <c r="AA605" s="16">
        <v>0</v>
      </c>
      <c r="AB605" s="16">
        <v>0</v>
      </c>
      <c r="AC605" s="16"/>
      <c r="AD605" s="68"/>
      <c r="AE605" s="23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</row>
    <row r="606" spans="1:84" s="2" customFormat="1" x14ac:dyDescent="0.2">
      <c r="A606" s="17" t="s">
        <v>3921</v>
      </c>
      <c r="B606" s="17" t="s">
        <v>45</v>
      </c>
      <c r="C606" s="17">
        <v>2025</v>
      </c>
      <c r="D606" s="17" t="str">
        <f t="array" ref="D606">_xlfn.SWITCH(E606,"Jatikalen","35.18.20","Kertosono", "35.18.08","Lengkong","35.18.19","Loceret","35.18.04","Tanjunganom","35.18.11","Wilangan","35.18.15")</f>
        <v>35.18.15</v>
      </c>
      <c r="E606" s="16" t="s">
        <v>1158</v>
      </c>
      <c r="F606" s="33" t="s">
        <v>1748</v>
      </c>
      <c r="G606" s="33" t="s">
        <v>1749</v>
      </c>
      <c r="H606" s="16" t="s">
        <v>31</v>
      </c>
      <c r="I606" s="16">
        <v>2</v>
      </c>
      <c r="J606" s="16">
        <v>3</v>
      </c>
      <c r="K606" s="16">
        <f t="shared" si="11"/>
        <v>5</v>
      </c>
      <c r="L606" s="38">
        <v>15000000</v>
      </c>
      <c r="M606" s="17" t="s">
        <v>172</v>
      </c>
      <c r="N606" s="67">
        <f>50*26*12</f>
        <v>15600</v>
      </c>
      <c r="O606" s="16" t="s">
        <v>422</v>
      </c>
      <c r="P606" s="30">
        <v>148200000</v>
      </c>
      <c r="Q606" s="33" t="s">
        <v>1642</v>
      </c>
      <c r="R606" s="38">
        <f>50*26*12</f>
        <v>15600</v>
      </c>
      <c r="S606" s="16" t="s">
        <v>422</v>
      </c>
      <c r="T606" s="30">
        <v>101400000</v>
      </c>
      <c r="U606" s="16" t="s">
        <v>22</v>
      </c>
      <c r="V606" s="20" t="s">
        <v>998</v>
      </c>
      <c r="W606" s="16">
        <v>2300</v>
      </c>
      <c r="X606" s="16" t="s">
        <v>53</v>
      </c>
      <c r="Y606" s="16">
        <v>75</v>
      </c>
      <c r="Z606" s="16">
        <v>25</v>
      </c>
      <c r="AA606" s="16">
        <v>0</v>
      </c>
      <c r="AB606" s="16">
        <v>0</v>
      </c>
      <c r="AC606" s="16"/>
      <c r="AD606" s="68"/>
      <c r="AE606" s="23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</row>
    <row r="607" spans="1:84" s="2" customFormat="1" x14ac:dyDescent="0.2">
      <c r="A607" s="17" t="s">
        <v>3921</v>
      </c>
      <c r="B607" s="17" t="s">
        <v>45</v>
      </c>
      <c r="C607" s="17">
        <v>2025</v>
      </c>
      <c r="D607" s="17" t="str">
        <f t="array" ref="D607">_xlfn.SWITCH(E607,"Jatikalen","35.18.20","Kertosono", "35.18.08","Lengkong","35.18.19","Loceret","35.18.04","Tanjunganom","35.18.11","Wilangan","35.18.15")</f>
        <v>35.18.15</v>
      </c>
      <c r="E607" s="16" t="s">
        <v>1158</v>
      </c>
      <c r="F607" s="33" t="str">
        <f>F606</f>
        <v>Ds. Ngudikan</v>
      </c>
      <c r="G607" s="33" t="s">
        <v>1661</v>
      </c>
      <c r="H607" s="16" t="s">
        <v>31</v>
      </c>
      <c r="I607" s="16">
        <v>2</v>
      </c>
      <c r="J607" s="16">
        <v>0</v>
      </c>
      <c r="K607" s="16">
        <f t="shared" si="11"/>
        <v>2</v>
      </c>
      <c r="L607" s="38">
        <v>10000000</v>
      </c>
      <c r="M607" s="17" t="s">
        <v>172</v>
      </c>
      <c r="N607" s="67">
        <f>70*26*12</f>
        <v>21840</v>
      </c>
      <c r="O607" s="16" t="s">
        <v>422</v>
      </c>
      <c r="P607" s="30">
        <v>207480000</v>
      </c>
      <c r="Q607" s="33" t="s">
        <v>1642</v>
      </c>
      <c r="R607" s="38">
        <f>70*26*12</f>
        <v>21840</v>
      </c>
      <c r="S607" s="16" t="s">
        <v>422</v>
      </c>
      <c r="T607" s="30">
        <v>141960000</v>
      </c>
      <c r="U607" s="16" t="s">
        <v>22</v>
      </c>
      <c r="V607" s="20" t="s">
        <v>998</v>
      </c>
      <c r="W607" s="16">
        <v>3000</v>
      </c>
      <c r="X607" s="16" t="s">
        <v>53</v>
      </c>
      <c r="Y607" s="16">
        <v>60</v>
      </c>
      <c r="Z607" s="16">
        <v>40</v>
      </c>
      <c r="AA607" s="16">
        <v>0</v>
      </c>
      <c r="AB607" s="16">
        <v>0</v>
      </c>
      <c r="AC607" s="16"/>
      <c r="AD607" s="68"/>
      <c r="AE607" s="23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</row>
    <row r="608" spans="1:84" s="2" customFormat="1" x14ac:dyDescent="0.2">
      <c r="A608" s="17" t="s">
        <v>3921</v>
      </c>
      <c r="B608" s="17" t="s">
        <v>45</v>
      </c>
      <c r="C608" s="17">
        <v>2025</v>
      </c>
      <c r="D608" s="17" t="str">
        <f t="array" ref="D608">_xlfn.SWITCH(E608,"Jatikalen","35.18.20","Kertosono", "35.18.08","Lengkong","35.18.19","Loceret","35.18.04","Tanjunganom","35.18.11","Wilangan","35.18.15")</f>
        <v>35.18.15</v>
      </c>
      <c r="E608" s="16" t="s">
        <v>1158</v>
      </c>
      <c r="F608" s="33" t="str">
        <f>F607</f>
        <v>Ds. Ngudikan</v>
      </c>
      <c r="G608" s="33" t="s">
        <v>1750</v>
      </c>
      <c r="H608" s="16" t="s">
        <v>31</v>
      </c>
      <c r="I608" s="16">
        <v>2</v>
      </c>
      <c r="J608" s="16">
        <v>1</v>
      </c>
      <c r="K608" s="16">
        <f t="shared" si="11"/>
        <v>3</v>
      </c>
      <c r="L608" s="38">
        <v>20000000</v>
      </c>
      <c r="M608" s="17" t="s">
        <v>172</v>
      </c>
      <c r="N608" s="67">
        <f>72*26*12</f>
        <v>22464</v>
      </c>
      <c r="O608" s="16" t="s">
        <v>422</v>
      </c>
      <c r="P608" s="30">
        <v>213408000</v>
      </c>
      <c r="Q608" s="33" t="s">
        <v>1642</v>
      </c>
      <c r="R608" s="38">
        <f>72*26*12</f>
        <v>22464</v>
      </c>
      <c r="S608" s="16" t="s">
        <v>422</v>
      </c>
      <c r="T608" s="30">
        <v>146016000</v>
      </c>
      <c r="U608" s="16" t="s">
        <v>22</v>
      </c>
      <c r="V608" s="20" t="s">
        <v>998</v>
      </c>
      <c r="W608" s="16">
        <v>2000</v>
      </c>
      <c r="X608" s="16" t="s">
        <v>53</v>
      </c>
      <c r="Y608" s="16">
        <v>65</v>
      </c>
      <c r="Z608" s="16">
        <v>35</v>
      </c>
      <c r="AA608" s="16">
        <v>0</v>
      </c>
      <c r="AB608" s="16">
        <v>0</v>
      </c>
      <c r="AC608" s="16"/>
      <c r="AD608" s="68"/>
      <c r="AE608" s="23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</row>
    <row r="609" spans="1:84" s="2" customFormat="1" x14ac:dyDescent="0.2">
      <c r="A609" s="17" t="s">
        <v>3921</v>
      </c>
      <c r="B609" s="17" t="s">
        <v>45</v>
      </c>
      <c r="C609" s="17">
        <v>2025</v>
      </c>
      <c r="D609" s="17" t="str">
        <f t="array" ref="D609">_xlfn.SWITCH(E609,"Jatikalen","35.18.20","Kertosono", "35.18.08","Lengkong","35.18.19","Loceret","35.18.04","Tanjunganom","35.18.11","Wilangan","35.18.15")</f>
        <v>35.18.15</v>
      </c>
      <c r="E609" s="16" t="s">
        <v>1158</v>
      </c>
      <c r="F609" s="33" t="str">
        <f>F608</f>
        <v>Ds. Ngudikan</v>
      </c>
      <c r="G609" s="33" t="s">
        <v>1751</v>
      </c>
      <c r="H609" s="16" t="s">
        <v>47</v>
      </c>
      <c r="I609" s="16">
        <v>14</v>
      </c>
      <c r="J609" s="16">
        <v>0</v>
      </c>
      <c r="K609" s="16">
        <f t="shared" si="11"/>
        <v>14</v>
      </c>
      <c r="L609" s="38">
        <v>60550000</v>
      </c>
      <c r="M609" s="17" t="s">
        <v>72</v>
      </c>
      <c r="N609" s="67">
        <f>5*4*12</f>
        <v>240</v>
      </c>
      <c r="O609" s="16" t="s">
        <v>69</v>
      </c>
      <c r="P609" s="30">
        <v>240000000</v>
      </c>
      <c r="Q609" s="33" t="s">
        <v>1680</v>
      </c>
      <c r="R609" s="38">
        <f>2*4*12</f>
        <v>96</v>
      </c>
      <c r="S609" s="16" t="s">
        <v>69</v>
      </c>
      <c r="T609" s="30">
        <v>144000000</v>
      </c>
      <c r="U609" s="16" t="s">
        <v>22</v>
      </c>
      <c r="V609" s="20" t="s">
        <v>1677</v>
      </c>
      <c r="W609" s="16"/>
      <c r="X609" s="16"/>
      <c r="Y609" s="16">
        <v>65</v>
      </c>
      <c r="Z609" s="16">
        <v>35</v>
      </c>
      <c r="AA609" s="16">
        <v>0</v>
      </c>
      <c r="AB609" s="16">
        <v>0</v>
      </c>
      <c r="AC609" s="16" t="s">
        <v>1752</v>
      </c>
      <c r="AD609" s="68"/>
      <c r="AE609" s="23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</row>
    <row r="610" spans="1:84" s="2" customFormat="1" ht="20" x14ac:dyDescent="0.2">
      <c r="A610" s="17" t="s">
        <v>3921</v>
      </c>
      <c r="B610" s="17" t="s">
        <v>45</v>
      </c>
      <c r="C610" s="17">
        <v>2025</v>
      </c>
      <c r="D610" s="17" t="str">
        <f t="array" ref="D610">_xlfn.SWITCH(E610,"Jatikalen","35.18.20","Kertosono", "35.18.08","Lengkong","35.18.19","Loceret","35.18.04","Tanjunganom","35.18.11","Wilangan","35.18.15")</f>
        <v>35.18.15</v>
      </c>
      <c r="E610" s="16" t="s">
        <v>1158</v>
      </c>
      <c r="F610" s="33" t="s">
        <v>1753</v>
      </c>
      <c r="G610" s="33" t="s">
        <v>1754</v>
      </c>
      <c r="H610" s="16" t="s">
        <v>47</v>
      </c>
      <c r="I610" s="16">
        <v>8</v>
      </c>
      <c r="J610" s="16">
        <v>0</v>
      </c>
      <c r="K610" s="16">
        <f t="shared" si="11"/>
        <v>8</v>
      </c>
      <c r="L610" s="38">
        <v>72700000</v>
      </c>
      <c r="M610" s="17" t="s">
        <v>1518</v>
      </c>
      <c r="N610" s="67">
        <v>150</v>
      </c>
      <c r="O610" s="16" t="s">
        <v>69</v>
      </c>
      <c r="P610" s="30">
        <v>150000000</v>
      </c>
      <c r="Q610" s="33" t="s">
        <v>1680</v>
      </c>
      <c r="R610" s="38">
        <v>30</v>
      </c>
      <c r="S610" s="16" t="s">
        <v>69</v>
      </c>
      <c r="T610" s="30">
        <v>75000000</v>
      </c>
      <c r="U610" s="16" t="s">
        <v>22</v>
      </c>
      <c r="V610" s="20" t="s">
        <v>1677</v>
      </c>
      <c r="W610" s="16"/>
      <c r="X610" s="16"/>
      <c r="Y610" s="16">
        <v>60</v>
      </c>
      <c r="Z610" s="16">
        <v>40</v>
      </c>
      <c r="AA610" s="16">
        <v>0</v>
      </c>
      <c r="AB610" s="16">
        <v>0</v>
      </c>
      <c r="AC610" s="16" t="s">
        <v>1755</v>
      </c>
      <c r="AD610" s="68"/>
      <c r="AE610" s="23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</row>
    <row r="611" spans="1:84" s="2" customFormat="1" x14ac:dyDescent="0.2">
      <c r="A611" s="17" t="s">
        <v>3921</v>
      </c>
      <c r="B611" s="17" t="s">
        <v>45</v>
      </c>
      <c r="C611" s="17">
        <v>2025</v>
      </c>
      <c r="D611" s="17" t="str">
        <f t="array" ref="D611">_xlfn.SWITCH(E611,"Jatikalen","35.18.20","Kertosono", "35.18.08","Lengkong","35.18.19","Loceret","35.18.04","Tanjunganom","35.18.11","Wilangan","35.18.15")</f>
        <v>35.18.15</v>
      </c>
      <c r="E611" s="16" t="s">
        <v>1158</v>
      </c>
      <c r="F611" s="33" t="s">
        <v>1277</v>
      </c>
      <c r="G611" s="33" t="s">
        <v>1756</v>
      </c>
      <c r="H611" s="16" t="s">
        <v>47</v>
      </c>
      <c r="I611" s="16">
        <v>7</v>
      </c>
      <c r="J611" s="16">
        <v>0</v>
      </c>
      <c r="K611" s="16">
        <f t="shared" si="11"/>
        <v>7</v>
      </c>
      <c r="L611" s="38">
        <v>50000000</v>
      </c>
      <c r="M611" s="17" t="s">
        <v>72</v>
      </c>
      <c r="N611" s="67">
        <v>130</v>
      </c>
      <c r="O611" s="16" t="s">
        <v>69</v>
      </c>
      <c r="P611" s="30">
        <v>195000000</v>
      </c>
      <c r="Q611" s="33" t="s">
        <v>1680</v>
      </c>
      <c r="R611" s="38">
        <v>25</v>
      </c>
      <c r="S611" s="16" t="s">
        <v>69</v>
      </c>
      <c r="T611" s="30">
        <v>62500000</v>
      </c>
      <c r="U611" s="16" t="s">
        <v>22</v>
      </c>
      <c r="V611" s="20" t="s">
        <v>1677</v>
      </c>
      <c r="W611" s="16"/>
      <c r="X611" s="16"/>
      <c r="Y611" s="16">
        <v>70</v>
      </c>
      <c r="Z611" s="16">
        <v>30</v>
      </c>
      <c r="AA611" s="16">
        <v>0</v>
      </c>
      <c r="AB611" s="16">
        <v>0</v>
      </c>
      <c r="AC611" s="16" t="s">
        <v>1757</v>
      </c>
      <c r="AD611" s="68"/>
      <c r="AE611" s="23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</row>
    <row r="612" spans="1:84" s="2" customFormat="1" x14ac:dyDescent="0.2">
      <c r="A612" s="17" t="s">
        <v>3921</v>
      </c>
      <c r="B612" s="17" t="s">
        <v>45</v>
      </c>
      <c r="C612" s="17">
        <v>2025</v>
      </c>
      <c r="D612" s="17" t="str">
        <f t="array" ref="D612">_xlfn.SWITCH(E612,"Jatikalen","35.18.20","Kertosono", "35.18.08","Lengkong","35.18.19","Loceret","35.18.04","Tanjunganom","35.18.11","Wilangan","35.18.15")</f>
        <v>35.18.15</v>
      </c>
      <c r="E612" s="16" t="s">
        <v>1158</v>
      </c>
      <c r="F612" s="33" t="s">
        <v>1277</v>
      </c>
      <c r="G612" s="33" t="s">
        <v>1758</v>
      </c>
      <c r="H612" s="16" t="s">
        <v>47</v>
      </c>
      <c r="I612" s="16">
        <v>3</v>
      </c>
      <c r="J612" s="16">
        <v>0</v>
      </c>
      <c r="K612" s="16">
        <f t="shared" si="11"/>
        <v>3</v>
      </c>
      <c r="L612" s="38">
        <v>20000000</v>
      </c>
      <c r="M612" s="17" t="s">
        <v>108</v>
      </c>
      <c r="N612" s="67">
        <v>40</v>
      </c>
      <c r="O612" s="16" t="s">
        <v>69</v>
      </c>
      <c r="P612" s="30">
        <v>68000000</v>
      </c>
      <c r="Q612" s="33" t="s">
        <v>1680</v>
      </c>
      <c r="R612" s="38">
        <v>30</v>
      </c>
      <c r="S612" s="16" t="s">
        <v>69</v>
      </c>
      <c r="T612" s="30">
        <v>30000000</v>
      </c>
      <c r="U612" s="16" t="s">
        <v>22</v>
      </c>
      <c r="V612" s="20" t="s">
        <v>1677</v>
      </c>
      <c r="W612" s="16"/>
      <c r="X612" s="16"/>
      <c r="Y612" s="16">
        <v>60</v>
      </c>
      <c r="Z612" s="16">
        <v>40</v>
      </c>
      <c r="AA612" s="16">
        <v>0</v>
      </c>
      <c r="AB612" s="16">
        <v>0</v>
      </c>
      <c r="AC612" s="16" t="s">
        <v>1759</v>
      </c>
      <c r="AD612" s="68"/>
      <c r="AE612" s="23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</row>
    <row r="613" spans="1:84" s="2" customFormat="1" ht="20" x14ac:dyDescent="0.2">
      <c r="A613" s="17" t="s">
        <v>3921</v>
      </c>
      <c r="B613" s="17" t="s">
        <v>45</v>
      </c>
      <c r="C613" s="17">
        <v>2025</v>
      </c>
      <c r="D613" s="17" t="str">
        <f t="array" ref="D613">_xlfn.SWITCH(E613,"Jatikalen","35.18.20","Kertosono", "35.18.08","Lengkong","35.18.19","Loceret","35.18.04","Tanjunganom","35.18.11","Wilangan","35.18.15")</f>
        <v>35.18.15</v>
      </c>
      <c r="E613" s="16" t="s">
        <v>1158</v>
      </c>
      <c r="F613" s="33" t="s">
        <v>1760</v>
      </c>
      <c r="G613" s="33" t="s">
        <v>1761</v>
      </c>
      <c r="H613" s="16" t="s">
        <v>31</v>
      </c>
      <c r="I613" s="16">
        <v>8</v>
      </c>
      <c r="J613" s="16">
        <v>0</v>
      </c>
      <c r="K613" s="16">
        <f t="shared" si="11"/>
        <v>8</v>
      </c>
      <c r="L613" s="38">
        <v>50000000</v>
      </c>
      <c r="M613" s="17" t="s">
        <v>285</v>
      </c>
      <c r="N613" s="67">
        <f>3*12</f>
        <v>36</v>
      </c>
      <c r="O613" s="16" t="s">
        <v>49</v>
      </c>
      <c r="P613" s="30">
        <v>97200000</v>
      </c>
      <c r="Q613" s="33" t="s">
        <v>286</v>
      </c>
      <c r="R613" s="38">
        <f>2*12</f>
        <v>24</v>
      </c>
      <c r="S613" s="16" t="s">
        <v>69</v>
      </c>
      <c r="T613" s="30">
        <v>24000000</v>
      </c>
      <c r="U613" s="16" t="s">
        <v>22</v>
      </c>
      <c r="V613" s="20" t="s">
        <v>1677</v>
      </c>
      <c r="W613" s="16"/>
      <c r="X613" s="16"/>
      <c r="Y613" s="16">
        <v>60</v>
      </c>
      <c r="Z613" s="16">
        <v>40</v>
      </c>
      <c r="AA613" s="16">
        <v>0</v>
      </c>
      <c r="AB613" s="16">
        <v>0</v>
      </c>
      <c r="AC613" s="16" t="s">
        <v>1762</v>
      </c>
      <c r="AD613" s="68"/>
      <c r="AE613" s="23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</row>
    <row r="614" spans="1:84" s="2" customFormat="1" x14ac:dyDescent="0.2">
      <c r="A614" s="17" t="s">
        <v>3921</v>
      </c>
      <c r="B614" s="17" t="s">
        <v>45</v>
      </c>
      <c r="C614" s="17">
        <v>2025</v>
      </c>
      <c r="D614" s="17" t="str">
        <f t="array" ref="D614">_xlfn.SWITCH(E614,"Bagor","35.18.14","Sukomoro",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14" s="16" t="s">
        <v>114</v>
      </c>
      <c r="F614" s="33" t="s">
        <v>1733</v>
      </c>
      <c r="G614" s="33" t="s">
        <v>1763</v>
      </c>
      <c r="H614" s="16" t="s">
        <v>47</v>
      </c>
      <c r="I614" s="16">
        <v>2</v>
      </c>
      <c r="J614" s="16">
        <v>0</v>
      </c>
      <c r="K614" s="16">
        <f t="shared" si="11"/>
        <v>2</v>
      </c>
      <c r="L614" s="38">
        <v>25000000</v>
      </c>
      <c r="M614" s="17" t="s">
        <v>1518</v>
      </c>
      <c r="N614" s="67">
        <v>25</v>
      </c>
      <c r="O614" s="16" t="s">
        <v>69</v>
      </c>
      <c r="P614" s="30">
        <v>125000000</v>
      </c>
      <c r="Q614" s="33" t="s">
        <v>1680</v>
      </c>
      <c r="R614" s="38">
        <v>25</v>
      </c>
      <c r="S614" s="16" t="s">
        <v>69</v>
      </c>
      <c r="T614" s="30">
        <v>70000000</v>
      </c>
      <c r="U614" s="16" t="s">
        <v>22</v>
      </c>
      <c r="V614" s="20" t="s">
        <v>1677</v>
      </c>
      <c r="W614" s="16"/>
      <c r="X614" s="16"/>
      <c r="Y614" s="16">
        <v>35</v>
      </c>
      <c r="Z614" s="16">
        <v>40</v>
      </c>
      <c r="AA614" s="16">
        <v>25</v>
      </c>
      <c r="AB614" s="16">
        <v>0</v>
      </c>
      <c r="AC614" s="16" t="s">
        <v>1764</v>
      </c>
      <c r="AD614" s="68"/>
      <c r="AE614" s="23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</row>
    <row r="615" spans="1:84" s="2" customFormat="1" x14ac:dyDescent="0.2">
      <c r="A615" s="17" t="s">
        <v>3921</v>
      </c>
      <c r="B615" s="17" t="s">
        <v>45</v>
      </c>
      <c r="C615" s="17">
        <v>2025</v>
      </c>
      <c r="D615" s="17" t="str">
        <f t="array" ref="D615">_xlfn.SWITCH(E615,"Bagor","35.18.14","Sukomoro",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15" s="16" t="s">
        <v>114</v>
      </c>
      <c r="F615" s="33" t="s">
        <v>1765</v>
      </c>
      <c r="G615" s="33" t="s">
        <v>1766</v>
      </c>
      <c r="H615" s="16" t="s">
        <v>31</v>
      </c>
      <c r="I615" s="16">
        <v>0</v>
      </c>
      <c r="J615" s="16">
        <v>1</v>
      </c>
      <c r="K615" s="16">
        <f t="shared" si="11"/>
        <v>1</v>
      </c>
      <c r="L615" s="38">
        <v>2000000</v>
      </c>
      <c r="M615" s="17" t="s">
        <v>1767</v>
      </c>
      <c r="N615" s="67">
        <f>50*12</f>
        <v>600</v>
      </c>
      <c r="O615" s="16" t="s">
        <v>422</v>
      </c>
      <c r="P615" s="30">
        <v>7200000</v>
      </c>
      <c r="Q615" s="33" t="s">
        <v>1768</v>
      </c>
      <c r="R615" s="38">
        <v>600</v>
      </c>
      <c r="S615" s="16" t="s">
        <v>422</v>
      </c>
      <c r="T615" s="30">
        <v>3900000</v>
      </c>
      <c r="U615" s="16" t="s">
        <v>22</v>
      </c>
      <c r="V615" s="20">
        <v>0</v>
      </c>
      <c r="W615" s="16">
        <v>0</v>
      </c>
      <c r="X615" s="16">
        <v>0</v>
      </c>
      <c r="Y615" s="16">
        <v>70</v>
      </c>
      <c r="Z615" s="16">
        <v>30</v>
      </c>
      <c r="AA615" s="16">
        <v>0</v>
      </c>
      <c r="AB615" s="16">
        <v>0</v>
      </c>
      <c r="AC615" s="16"/>
      <c r="AD615" s="68"/>
      <c r="AE615" s="23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</row>
    <row r="616" spans="1:84" s="2" customFormat="1" x14ac:dyDescent="0.2">
      <c r="A616" s="17" t="s">
        <v>3921</v>
      </c>
      <c r="B616" s="17" t="s">
        <v>45</v>
      </c>
      <c r="C616" s="17">
        <v>2025</v>
      </c>
      <c r="D616" s="17" t="str">
        <f t="array" ref="D616">_xlfn.SWITCH(E616,"Bagor","35.18.14","Sukomoro",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16" s="16" t="s">
        <v>114</v>
      </c>
      <c r="F616" s="33" t="s">
        <v>1769</v>
      </c>
      <c r="G616" s="33" t="s">
        <v>1770</v>
      </c>
      <c r="H616" s="16" t="s">
        <v>31</v>
      </c>
      <c r="I616" s="16">
        <v>2</v>
      </c>
      <c r="J616" s="16">
        <v>0</v>
      </c>
      <c r="K616" s="16">
        <f t="shared" si="11"/>
        <v>2</v>
      </c>
      <c r="L616" s="38">
        <v>50000000</v>
      </c>
      <c r="M616" s="17" t="s">
        <v>1771</v>
      </c>
      <c r="N616" s="67">
        <f>3*12</f>
        <v>36</v>
      </c>
      <c r="O616" s="16" t="s">
        <v>143</v>
      </c>
      <c r="P616" s="30">
        <v>81000000</v>
      </c>
      <c r="Q616" s="33" t="s">
        <v>1772</v>
      </c>
      <c r="R616" s="38">
        <v>30</v>
      </c>
      <c r="S616" s="16" t="s">
        <v>1773</v>
      </c>
      <c r="T616" s="30">
        <v>45000000</v>
      </c>
      <c r="U616" s="16" t="s">
        <v>22</v>
      </c>
      <c r="V616" s="20">
        <v>0</v>
      </c>
      <c r="W616" s="16">
        <v>0</v>
      </c>
      <c r="X616" s="16">
        <v>0</v>
      </c>
      <c r="Y616" s="16">
        <v>60</v>
      </c>
      <c r="Z616" s="16">
        <v>40</v>
      </c>
      <c r="AA616" s="16">
        <v>0</v>
      </c>
      <c r="AB616" s="16">
        <v>0</v>
      </c>
      <c r="AC616" s="16"/>
      <c r="AD616" s="68"/>
      <c r="AE616" s="23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</row>
    <row r="617" spans="1:84" s="2" customFormat="1" ht="20" x14ac:dyDescent="0.2">
      <c r="A617" s="17" t="s">
        <v>3921</v>
      </c>
      <c r="B617" s="17" t="s">
        <v>45</v>
      </c>
      <c r="C617" s="17">
        <v>2025</v>
      </c>
      <c r="D617" s="17" t="str">
        <f t="array" ref="D617">_xlfn.SWITCH(E617,"Jatikalen","35.18.20","Kertosono", "35.18.08","Lengkong","35.18.19","Loceret","35.18.04","Tanjunganom","35.18.11","Wilangan","35.18.15")</f>
        <v>35.18.11</v>
      </c>
      <c r="E617" s="16" t="s">
        <v>60</v>
      </c>
      <c r="F617" s="33" t="s">
        <v>1774</v>
      </c>
      <c r="G617" s="33" t="s">
        <v>1775</v>
      </c>
      <c r="H617" s="16" t="s">
        <v>81</v>
      </c>
      <c r="I617" s="16">
        <v>12</v>
      </c>
      <c r="J617" s="16">
        <v>3</v>
      </c>
      <c r="K617" s="16">
        <f t="shared" si="11"/>
        <v>15</v>
      </c>
      <c r="L617" s="38">
        <v>228000000</v>
      </c>
      <c r="M617" s="17" t="s">
        <v>1695</v>
      </c>
      <c r="N617" s="67">
        <f>4*12</f>
        <v>48</v>
      </c>
      <c r="O617" s="16" t="s">
        <v>1776</v>
      </c>
      <c r="P617" s="30">
        <v>691200000</v>
      </c>
      <c r="Q617" s="33" t="s">
        <v>1777</v>
      </c>
      <c r="R617" s="38">
        <f>13*12</f>
        <v>156</v>
      </c>
      <c r="S617" s="16" t="s">
        <v>1368</v>
      </c>
      <c r="T617" s="30">
        <v>468000000</v>
      </c>
      <c r="U617" s="16" t="s">
        <v>22</v>
      </c>
      <c r="V617" s="20">
        <v>0</v>
      </c>
      <c r="W617" s="16">
        <v>0</v>
      </c>
      <c r="X617" s="16">
        <v>0</v>
      </c>
      <c r="Y617" s="16">
        <v>80</v>
      </c>
      <c r="Z617" s="16">
        <v>20</v>
      </c>
      <c r="AA617" s="16">
        <v>0</v>
      </c>
      <c r="AB617" s="16">
        <v>0</v>
      </c>
      <c r="AC617" s="16" t="s">
        <v>1778</v>
      </c>
      <c r="AD617" s="68"/>
      <c r="AE617" s="23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</row>
    <row r="618" spans="1:84" s="2" customFormat="1" x14ac:dyDescent="0.2">
      <c r="A618" s="17" t="s">
        <v>3921</v>
      </c>
      <c r="B618" s="17" t="s">
        <v>45</v>
      </c>
      <c r="C618" s="17">
        <v>2025</v>
      </c>
      <c r="D618" s="17" t="str">
        <f t="array" ref="D618">_xlfn.SWITCH(E618,"Jatikalen","35.18.20","Kertosono", "35.18.08","Lengkong","35.18.19","Loceret","35.18.04","Tanjunganom","35.18.11","Wilangan","35.18.15")</f>
        <v>35.18.11</v>
      </c>
      <c r="E618" s="16" t="s">
        <v>60</v>
      </c>
      <c r="F618" s="33" t="s">
        <v>1523</v>
      </c>
      <c r="G618" s="33" t="s">
        <v>1779</v>
      </c>
      <c r="H618" s="16" t="s">
        <v>47</v>
      </c>
      <c r="I618" s="16">
        <v>2</v>
      </c>
      <c r="J618" s="16">
        <v>0</v>
      </c>
      <c r="K618" s="16">
        <f t="shared" si="11"/>
        <v>2</v>
      </c>
      <c r="L618" s="38">
        <v>5550000</v>
      </c>
      <c r="M618" s="17" t="s">
        <v>1780</v>
      </c>
      <c r="N618" s="67">
        <f>1500*12</f>
        <v>18000</v>
      </c>
      <c r="O618" s="16" t="s">
        <v>1130</v>
      </c>
      <c r="P618" s="30">
        <v>54000000</v>
      </c>
      <c r="Q618" s="33" t="s">
        <v>1781</v>
      </c>
      <c r="R618" s="38">
        <f>4.5*12*4</f>
        <v>216</v>
      </c>
      <c r="S618" s="16" t="s">
        <v>69</v>
      </c>
      <c r="T618" s="30">
        <v>10800000</v>
      </c>
      <c r="U618" s="16" t="s">
        <v>22</v>
      </c>
      <c r="V618" s="20" t="s">
        <v>1677</v>
      </c>
      <c r="W618" s="16"/>
      <c r="X618" s="16"/>
      <c r="Y618" s="16">
        <v>70</v>
      </c>
      <c r="Z618" s="16">
        <v>30</v>
      </c>
      <c r="AA618" s="16">
        <v>0</v>
      </c>
      <c r="AB618" s="16">
        <v>0</v>
      </c>
      <c r="AC618" s="16" t="s">
        <v>1782</v>
      </c>
      <c r="AD618" s="68"/>
      <c r="AE618" s="23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</row>
    <row r="619" spans="1:84" s="2" customFormat="1" x14ac:dyDescent="0.2">
      <c r="A619" s="17" t="s">
        <v>3921</v>
      </c>
      <c r="B619" s="17" t="s">
        <v>45</v>
      </c>
      <c r="C619" s="17">
        <v>2025</v>
      </c>
      <c r="D619" s="17" t="str">
        <f t="array" ref="D619">_xlfn.SWITCH(E619,"Jatikalen","35.18.20","Kertosono", "35.18.08","Lengkong","35.18.19","Loceret","35.18.04","Tanjunganom","35.18.11","Wilangan","35.18.15")</f>
        <v>35.18.11</v>
      </c>
      <c r="E619" s="16" t="s">
        <v>60</v>
      </c>
      <c r="F619" s="33" t="s">
        <v>1523</v>
      </c>
      <c r="G619" s="33" t="s">
        <v>1783</v>
      </c>
      <c r="H619" s="16" t="s">
        <v>31</v>
      </c>
      <c r="I619" s="16">
        <v>0</v>
      </c>
      <c r="J619" s="16">
        <v>5</v>
      </c>
      <c r="K619" s="16">
        <f t="shared" si="11"/>
        <v>5</v>
      </c>
      <c r="L619" s="38">
        <v>100000000</v>
      </c>
      <c r="M619" s="17" t="s">
        <v>1784</v>
      </c>
      <c r="N619" s="67">
        <f>250*12</f>
        <v>3000</v>
      </c>
      <c r="O619" s="16" t="s">
        <v>49</v>
      </c>
      <c r="P619" s="30">
        <v>600000000</v>
      </c>
      <c r="Q619" s="33" t="s">
        <v>1785</v>
      </c>
      <c r="R619" s="38">
        <f>10000+500+75*12</f>
        <v>11400</v>
      </c>
      <c r="S619" s="16" t="s">
        <v>1368</v>
      </c>
      <c r="T619" s="30">
        <v>228000000</v>
      </c>
      <c r="U619" s="16" t="s">
        <v>22</v>
      </c>
      <c r="V619" s="20">
        <v>0</v>
      </c>
      <c r="W619" s="16">
        <v>0</v>
      </c>
      <c r="X619" s="16">
        <v>0</v>
      </c>
      <c r="Y619" s="16">
        <v>60</v>
      </c>
      <c r="Z619" s="16">
        <v>40</v>
      </c>
      <c r="AA619" s="16">
        <v>0</v>
      </c>
      <c r="AB619" s="16">
        <v>0</v>
      </c>
      <c r="AC619" s="16"/>
      <c r="AD619" s="68"/>
      <c r="AE619" s="23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</row>
    <row r="620" spans="1:84" s="2" customFormat="1" x14ac:dyDescent="0.2">
      <c r="A620" s="17" t="s">
        <v>3921</v>
      </c>
      <c r="B620" s="17" t="s">
        <v>45</v>
      </c>
      <c r="C620" s="17">
        <v>2025</v>
      </c>
      <c r="D620" s="17" t="str">
        <f t="array" ref="D620">_xlfn.SWITCH(E620,"Jatikalen","35.18.20","Kertosono", "35.18.08","Lengkong","35.18.19","Loceret","35.18.04","Tanjunganom","35.18.11","Wilangan","35.18.15")</f>
        <v>35.18.11</v>
      </c>
      <c r="E620" s="16" t="s">
        <v>60</v>
      </c>
      <c r="F620" s="33" t="s">
        <v>1523</v>
      </c>
      <c r="G620" s="33" t="s">
        <v>1786</v>
      </c>
      <c r="H620" s="16" t="s">
        <v>31</v>
      </c>
      <c r="I620" s="16">
        <v>4</v>
      </c>
      <c r="J620" s="16">
        <v>2</v>
      </c>
      <c r="K620" s="16">
        <f t="shared" si="11"/>
        <v>6</v>
      </c>
      <c r="L620" s="38">
        <v>15000000</v>
      </c>
      <c r="M620" s="17" t="s">
        <v>180</v>
      </c>
      <c r="N620" s="67">
        <f>225*12*4</f>
        <v>10800</v>
      </c>
      <c r="O620" s="16" t="s">
        <v>422</v>
      </c>
      <c r="P620" s="30">
        <v>85320000</v>
      </c>
      <c r="Q620" s="33" t="s">
        <v>1787</v>
      </c>
      <c r="R620" s="38">
        <f>225*12*4</f>
        <v>10800</v>
      </c>
      <c r="S620" s="16" t="s">
        <v>422</v>
      </c>
      <c r="T620" s="30">
        <v>59400000</v>
      </c>
      <c r="U620" s="16" t="s">
        <v>22</v>
      </c>
      <c r="V620" s="20" t="s">
        <v>57</v>
      </c>
      <c r="W620" s="16">
        <v>6000</v>
      </c>
      <c r="X620" s="16" t="s">
        <v>51</v>
      </c>
      <c r="Y620" s="16">
        <v>65</v>
      </c>
      <c r="Z620" s="16">
        <v>35</v>
      </c>
      <c r="AA620" s="16">
        <v>0</v>
      </c>
      <c r="AB620" s="16">
        <v>0</v>
      </c>
      <c r="AC620" s="16"/>
      <c r="AD620" s="68"/>
      <c r="AE620" s="23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</row>
    <row r="621" spans="1:84" s="2" customFormat="1" x14ac:dyDescent="0.2">
      <c r="A621" s="17" t="s">
        <v>3921</v>
      </c>
      <c r="B621" s="17" t="s">
        <v>45</v>
      </c>
      <c r="C621" s="17">
        <v>2025</v>
      </c>
      <c r="D621" s="17" t="str">
        <f t="array" ref="D621">_xlfn.SWITCH(E621,"Jatikalen","35.18.20","Kertosono", "35.18.08","Lengkong","35.18.19","Loceret","35.18.04","Tanjunganom","35.18.11","Wilangan","35.18.15")</f>
        <v>35.18.11</v>
      </c>
      <c r="E621" s="16" t="s">
        <v>60</v>
      </c>
      <c r="F621" s="33" t="s">
        <v>1523</v>
      </c>
      <c r="G621" s="33" t="s">
        <v>1647</v>
      </c>
      <c r="H621" s="16" t="s">
        <v>31</v>
      </c>
      <c r="I621" s="16">
        <v>2</v>
      </c>
      <c r="J621" s="16">
        <v>0</v>
      </c>
      <c r="K621" s="16">
        <f t="shared" si="11"/>
        <v>2</v>
      </c>
      <c r="L621" s="38">
        <v>50000000</v>
      </c>
      <c r="M621" s="17" t="s">
        <v>1518</v>
      </c>
      <c r="N621" s="67">
        <f>3*12</f>
        <v>36</v>
      </c>
      <c r="O621" s="16" t="s">
        <v>69</v>
      </c>
      <c r="P621" s="30">
        <v>234000000</v>
      </c>
      <c r="Q621" s="33" t="s">
        <v>1680</v>
      </c>
      <c r="R621" s="38">
        <v>36</v>
      </c>
      <c r="S621" s="16" t="s">
        <v>69</v>
      </c>
      <c r="T621" s="30">
        <v>133200000</v>
      </c>
      <c r="U621" s="16" t="s">
        <v>22</v>
      </c>
      <c r="V621" s="20" t="s">
        <v>1677</v>
      </c>
      <c r="W621" s="16"/>
      <c r="X621" s="16"/>
      <c r="Y621" s="16">
        <v>70</v>
      </c>
      <c r="Z621" s="16">
        <v>30</v>
      </c>
      <c r="AA621" s="16">
        <v>0</v>
      </c>
      <c r="AB621" s="16">
        <v>0</v>
      </c>
      <c r="AC621" s="16"/>
      <c r="AD621" s="68"/>
      <c r="AE621" s="23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</row>
    <row r="622" spans="1:84" s="2" customFormat="1" x14ac:dyDescent="0.2">
      <c r="A622" s="17" t="s">
        <v>3921</v>
      </c>
      <c r="B622" s="17" t="s">
        <v>45</v>
      </c>
      <c r="C622" s="17">
        <v>2025</v>
      </c>
      <c r="D622" s="17" t="str">
        <f t="array" ref="D622">_xlfn.SWITCH(E622,"Jatikalen","35.18.20","Kertosono", "35.18.08","Lengkong","35.18.19","Loceret","35.18.04","Tanjunganom","35.18.11","Wilangan","35.18.15")</f>
        <v>35.18.11</v>
      </c>
      <c r="E622" s="16" t="s">
        <v>60</v>
      </c>
      <c r="F622" s="33" t="s">
        <v>1523</v>
      </c>
      <c r="G622" s="33" t="s">
        <v>1788</v>
      </c>
      <c r="H622" s="16" t="s">
        <v>47</v>
      </c>
      <c r="I622" s="16">
        <v>2</v>
      </c>
      <c r="J622" s="16">
        <v>0</v>
      </c>
      <c r="K622" s="16">
        <f t="shared" si="11"/>
        <v>2</v>
      </c>
      <c r="L622" s="38">
        <v>5000000</v>
      </c>
      <c r="M622" s="17" t="s">
        <v>72</v>
      </c>
      <c r="N622" s="67">
        <v>5</v>
      </c>
      <c r="O622" s="16" t="s">
        <v>69</v>
      </c>
      <c r="P622" s="30">
        <v>20000000</v>
      </c>
      <c r="Q622" s="33" t="s">
        <v>1680</v>
      </c>
      <c r="R622" s="38">
        <v>4</v>
      </c>
      <c r="S622" s="16" t="s">
        <v>69</v>
      </c>
      <c r="T622" s="30">
        <v>12800000</v>
      </c>
      <c r="U622" s="16" t="s">
        <v>22</v>
      </c>
      <c r="V622" s="20">
        <v>0</v>
      </c>
      <c r="W622" s="16">
        <v>0</v>
      </c>
      <c r="X622" s="16">
        <v>0</v>
      </c>
      <c r="Y622" s="16">
        <v>80</v>
      </c>
      <c r="Z622" s="16">
        <v>20</v>
      </c>
      <c r="AA622" s="16">
        <v>0</v>
      </c>
      <c r="AB622" s="16">
        <v>0</v>
      </c>
      <c r="AC622" s="16"/>
      <c r="AD622" s="68"/>
      <c r="AE622" s="23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</row>
    <row r="623" spans="1:84" s="2" customFormat="1" x14ac:dyDescent="0.2">
      <c r="A623" s="17" t="s">
        <v>3921</v>
      </c>
      <c r="B623" s="17" t="s">
        <v>45</v>
      </c>
      <c r="C623" s="17">
        <v>2025</v>
      </c>
      <c r="D623" s="17" t="str">
        <f t="array" ref="D623">_xlfn.SWITCH(E623,"Bagor","35.18.14","Sukomoro",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23" s="16" t="s">
        <v>114</v>
      </c>
      <c r="F623" s="33" t="s">
        <v>1789</v>
      </c>
      <c r="G623" s="33" t="s">
        <v>1790</v>
      </c>
      <c r="H623" s="16" t="s">
        <v>31</v>
      </c>
      <c r="I623" s="16">
        <v>6</v>
      </c>
      <c r="J623" s="16">
        <v>0</v>
      </c>
      <c r="K623" s="16">
        <f t="shared" si="11"/>
        <v>6</v>
      </c>
      <c r="L623" s="38">
        <v>20000000</v>
      </c>
      <c r="M623" s="17" t="s">
        <v>871</v>
      </c>
      <c r="N623" s="67">
        <f>5*2*12</f>
        <v>120</v>
      </c>
      <c r="O623" s="16" t="s">
        <v>962</v>
      </c>
      <c r="P623" s="30">
        <v>204000000</v>
      </c>
      <c r="Q623" s="33" t="s">
        <v>967</v>
      </c>
      <c r="R623" s="38">
        <f>5*12*26</f>
        <v>1560</v>
      </c>
      <c r="S623" s="16" t="s">
        <v>83</v>
      </c>
      <c r="T623" s="30">
        <v>101400000</v>
      </c>
      <c r="U623" s="16" t="s">
        <v>22</v>
      </c>
      <c r="V623" s="20">
        <v>0</v>
      </c>
      <c r="W623" s="16">
        <v>0</v>
      </c>
      <c r="X623" s="16">
        <v>0</v>
      </c>
      <c r="Y623" s="16">
        <v>75</v>
      </c>
      <c r="Z623" s="16">
        <v>25</v>
      </c>
      <c r="AA623" s="16">
        <v>0</v>
      </c>
      <c r="AB623" s="16">
        <v>0</v>
      </c>
      <c r="AC623" s="16"/>
      <c r="AD623" s="68"/>
      <c r="AE623" s="23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</row>
    <row r="624" spans="1:84" s="2" customFormat="1" x14ac:dyDescent="0.2">
      <c r="A624" s="17" t="s">
        <v>3921</v>
      </c>
      <c r="B624" s="17" t="s">
        <v>45</v>
      </c>
      <c r="C624" s="17">
        <v>2025</v>
      </c>
      <c r="D624" s="17" t="str">
        <f t="array" ref="D624">_xlfn.SWITCH(E624,"Bagor","35.18.14","Sukomoro",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24" s="16" t="s">
        <v>114</v>
      </c>
      <c r="F624" s="33" t="s">
        <v>1791</v>
      </c>
      <c r="G624" s="33" t="s">
        <v>1792</v>
      </c>
      <c r="H624" s="16" t="s">
        <v>31</v>
      </c>
      <c r="I624" s="16">
        <v>4</v>
      </c>
      <c r="J624" s="16">
        <v>0</v>
      </c>
      <c r="K624" s="16">
        <f t="shared" si="11"/>
        <v>4</v>
      </c>
      <c r="L624" s="38">
        <v>20000000</v>
      </c>
      <c r="M624" s="17" t="s">
        <v>871</v>
      </c>
      <c r="N624" s="67">
        <f>4.5*12</f>
        <v>54</v>
      </c>
      <c r="O624" s="16" t="s">
        <v>83</v>
      </c>
      <c r="P624" s="30">
        <v>81000000</v>
      </c>
      <c r="Q624" s="33" t="s">
        <v>1499</v>
      </c>
      <c r="R624" s="38">
        <f>2.25*12</f>
        <v>27</v>
      </c>
      <c r="S624" s="16" t="s">
        <v>962</v>
      </c>
      <c r="T624" s="30">
        <v>32400000</v>
      </c>
      <c r="U624" s="16" t="s">
        <v>22</v>
      </c>
      <c r="V624" s="20">
        <v>0</v>
      </c>
      <c r="W624" s="16">
        <v>0</v>
      </c>
      <c r="X624" s="16">
        <v>0</v>
      </c>
      <c r="Y624" s="16">
        <v>80</v>
      </c>
      <c r="Z624" s="16">
        <v>20</v>
      </c>
      <c r="AA624" s="16">
        <v>0</v>
      </c>
      <c r="AB624" s="16">
        <v>0</v>
      </c>
      <c r="AC624" s="16"/>
      <c r="AD624" s="68"/>
      <c r="AE624" s="23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</row>
    <row r="625" spans="1:84" s="2" customFormat="1" x14ac:dyDescent="0.2">
      <c r="A625" s="17" t="s">
        <v>3921</v>
      </c>
      <c r="B625" s="17" t="s">
        <v>45</v>
      </c>
      <c r="C625" s="17">
        <v>2025</v>
      </c>
      <c r="D625" s="17" t="str">
        <f t="array" ref="D625">_xlfn.SWITCH(E625,"Bagor","35.18.14","Sukomoro",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25" s="16" t="s">
        <v>114</v>
      </c>
      <c r="F625" s="33" t="s">
        <v>1793</v>
      </c>
      <c r="G625" s="33" t="s">
        <v>1794</v>
      </c>
      <c r="H625" s="16" t="s">
        <v>47</v>
      </c>
      <c r="I625" s="16">
        <v>4</v>
      </c>
      <c r="J625" s="16">
        <v>0</v>
      </c>
      <c r="K625" s="16">
        <f t="shared" si="11"/>
        <v>4</v>
      </c>
      <c r="L625" s="38">
        <v>40000000</v>
      </c>
      <c r="M625" s="17" t="s">
        <v>871</v>
      </c>
      <c r="N625" s="67">
        <f>4*12*2</f>
        <v>96</v>
      </c>
      <c r="O625" s="16" t="s">
        <v>83</v>
      </c>
      <c r="P625" s="30">
        <v>144000000</v>
      </c>
      <c r="Q625" s="33" t="s">
        <v>967</v>
      </c>
      <c r="R625" s="38">
        <f>4*12*2</f>
        <v>96</v>
      </c>
      <c r="S625" s="16" t="s">
        <v>83</v>
      </c>
      <c r="T625" s="30">
        <v>96000000</v>
      </c>
      <c r="U625" s="16" t="s">
        <v>22</v>
      </c>
      <c r="V625" s="20">
        <v>0</v>
      </c>
      <c r="W625" s="16">
        <v>0</v>
      </c>
      <c r="X625" s="16">
        <v>0</v>
      </c>
      <c r="Y625" s="16">
        <v>50</v>
      </c>
      <c r="Z625" s="16">
        <v>50</v>
      </c>
      <c r="AA625" s="16">
        <v>0</v>
      </c>
      <c r="AB625" s="16">
        <v>0</v>
      </c>
      <c r="AC625" s="16" t="s">
        <v>1795</v>
      </c>
      <c r="AD625" s="68"/>
      <c r="AE625" s="23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</row>
    <row r="626" spans="1:84" s="2" customFormat="1" x14ac:dyDescent="0.2">
      <c r="A626" s="17" t="s">
        <v>3921</v>
      </c>
      <c r="B626" s="17" t="s">
        <v>45</v>
      </c>
      <c r="C626" s="17">
        <v>2025</v>
      </c>
      <c r="D626" s="17" t="str">
        <f t="array" ref="D626">_xlfn.SWITCH(E626,"Bagor","35.18.14","Sukomoro",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626" s="16" t="s">
        <v>157</v>
      </c>
      <c r="F626" s="33" t="s">
        <v>1796</v>
      </c>
      <c r="G626" s="33" t="s">
        <v>1797</v>
      </c>
      <c r="H626" s="16" t="s">
        <v>47</v>
      </c>
      <c r="I626" s="16">
        <v>3</v>
      </c>
      <c r="J626" s="16">
        <v>0</v>
      </c>
      <c r="K626" s="16">
        <f t="shared" si="11"/>
        <v>3</v>
      </c>
      <c r="L626" s="38">
        <v>50000000</v>
      </c>
      <c r="M626" s="17" t="s">
        <v>1798</v>
      </c>
      <c r="N626" s="67">
        <f>40*12</f>
        <v>480</v>
      </c>
      <c r="O626" s="16" t="s">
        <v>69</v>
      </c>
      <c r="P626" s="30">
        <v>129600000</v>
      </c>
      <c r="Q626" s="33" t="s">
        <v>1799</v>
      </c>
      <c r="R626" s="38">
        <f>40*12</f>
        <v>480</v>
      </c>
      <c r="S626" s="16" t="s">
        <v>505</v>
      </c>
      <c r="T626" s="30">
        <v>72000000</v>
      </c>
      <c r="U626" s="16" t="s">
        <v>22</v>
      </c>
      <c r="V626" s="20">
        <v>0</v>
      </c>
      <c r="W626" s="16">
        <v>0</v>
      </c>
      <c r="X626" s="16">
        <v>0</v>
      </c>
      <c r="Y626" s="16">
        <v>35</v>
      </c>
      <c r="Z626" s="16">
        <v>30</v>
      </c>
      <c r="AA626" s="16">
        <v>35</v>
      </c>
      <c r="AB626" s="16">
        <v>0</v>
      </c>
      <c r="AC626" s="16" t="s">
        <v>1800</v>
      </c>
      <c r="AD626" s="68"/>
      <c r="AE626" s="23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</row>
    <row r="627" spans="1:84" s="2" customFormat="1" x14ac:dyDescent="0.2">
      <c r="A627" s="17" t="s">
        <v>3921</v>
      </c>
      <c r="B627" s="17" t="s">
        <v>45</v>
      </c>
      <c r="C627" s="17">
        <v>2025</v>
      </c>
      <c r="D627" s="17" t="str">
        <f t="array" ref="D627">_xlfn.SWITCH(E627,"Jatikalen","35.18.20","Kertosono", "35.18.08","Lengkong","35.18.19","Loceret","35.18.04","Tanjunganom","35.18.11","Wilangan","35.18.15")</f>
        <v>35.18.11</v>
      </c>
      <c r="E627" s="16" t="s">
        <v>60</v>
      </c>
      <c r="F627" s="33" t="s">
        <v>1801</v>
      </c>
      <c r="G627" s="33" t="s">
        <v>724</v>
      </c>
      <c r="H627" s="16" t="s">
        <v>31</v>
      </c>
      <c r="I627" s="16">
        <v>2</v>
      </c>
      <c r="J627" s="16">
        <v>2</v>
      </c>
      <c r="K627" s="16">
        <f t="shared" si="11"/>
        <v>4</v>
      </c>
      <c r="L627" s="38">
        <v>10000000</v>
      </c>
      <c r="M627" s="17" t="s">
        <v>172</v>
      </c>
      <c r="N627" s="67">
        <f>15*26*12</f>
        <v>4680</v>
      </c>
      <c r="O627" s="16" t="s">
        <v>422</v>
      </c>
      <c r="P627" s="30">
        <v>37440000</v>
      </c>
      <c r="Q627" s="33" t="s">
        <v>1642</v>
      </c>
      <c r="R627" s="38">
        <f>15*26*12</f>
        <v>4680</v>
      </c>
      <c r="S627" s="16" t="s">
        <v>422</v>
      </c>
      <c r="T627" s="30">
        <v>9360000</v>
      </c>
      <c r="U627" s="16" t="s">
        <v>22</v>
      </c>
      <c r="V627" s="20" t="s">
        <v>57</v>
      </c>
      <c r="W627" s="16">
        <v>2360</v>
      </c>
      <c r="X627" s="16" t="s">
        <v>51</v>
      </c>
      <c r="Y627" s="16">
        <v>75</v>
      </c>
      <c r="Z627" s="16">
        <v>25</v>
      </c>
      <c r="AA627" s="16">
        <v>0</v>
      </c>
      <c r="AB627" s="16">
        <v>0</v>
      </c>
      <c r="AC627" s="16"/>
      <c r="AD627" s="68"/>
      <c r="AE627" s="23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</row>
    <row r="628" spans="1:84" s="2" customFormat="1" x14ac:dyDescent="0.2">
      <c r="A628" s="17" t="s">
        <v>3921</v>
      </c>
      <c r="B628" s="17" t="s">
        <v>45</v>
      </c>
      <c r="C628" s="17">
        <v>2025</v>
      </c>
      <c r="D628" s="17" t="str">
        <f t="array" ref="D628">_xlfn.SWITCH(E628,"Bagor","35.18.14","Sukomoro",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28" s="16" t="s">
        <v>92</v>
      </c>
      <c r="F628" s="33" t="s">
        <v>1188</v>
      </c>
      <c r="G628" s="33" t="s">
        <v>1802</v>
      </c>
      <c r="H628" s="16" t="s">
        <v>31</v>
      </c>
      <c r="I628" s="16">
        <v>3</v>
      </c>
      <c r="J628" s="16">
        <v>5</v>
      </c>
      <c r="K628" s="16">
        <f t="shared" si="11"/>
        <v>8</v>
      </c>
      <c r="L628" s="38">
        <v>15000000</v>
      </c>
      <c r="M628" s="17" t="s">
        <v>258</v>
      </c>
      <c r="N628" s="67">
        <f>20*12*26</f>
        <v>6240</v>
      </c>
      <c r="O628" s="16" t="s">
        <v>1803</v>
      </c>
      <c r="P628" s="30">
        <v>205920000</v>
      </c>
      <c r="Q628" s="33" t="s">
        <v>1804</v>
      </c>
      <c r="R628" s="38">
        <v>4000</v>
      </c>
      <c r="S628" s="16" t="s">
        <v>1130</v>
      </c>
      <c r="T628" s="30">
        <v>60000000</v>
      </c>
      <c r="U628" s="16" t="s">
        <v>22</v>
      </c>
      <c r="V628" s="20">
        <v>0</v>
      </c>
      <c r="W628" s="16">
        <v>0</v>
      </c>
      <c r="X628" s="16">
        <v>0</v>
      </c>
      <c r="Y628" s="16">
        <v>70</v>
      </c>
      <c r="Z628" s="16">
        <v>30</v>
      </c>
      <c r="AA628" s="16">
        <v>0</v>
      </c>
      <c r="AB628" s="16">
        <v>0</v>
      </c>
      <c r="AC628" s="16"/>
      <c r="AD628" s="68"/>
      <c r="AE628" s="23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</row>
    <row r="629" spans="1:84" s="2" customFormat="1" x14ac:dyDescent="0.2">
      <c r="A629" s="17" t="s">
        <v>3921</v>
      </c>
      <c r="B629" s="17" t="s">
        <v>45</v>
      </c>
      <c r="C629" s="17">
        <v>2025</v>
      </c>
      <c r="D629" s="17" t="str">
        <f t="array" ref="D629">_xlfn.SWITCH(E629,"Bagor","35.18.14","Sukomoro",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29" s="16" t="s">
        <v>92</v>
      </c>
      <c r="F629" s="33" t="s">
        <v>1188</v>
      </c>
      <c r="G629" s="33" t="s">
        <v>1805</v>
      </c>
      <c r="H629" s="16" t="s">
        <v>47</v>
      </c>
      <c r="I629" s="16">
        <v>5</v>
      </c>
      <c r="J629" s="16">
        <v>10</v>
      </c>
      <c r="K629" s="16">
        <f t="shared" si="11"/>
        <v>15</v>
      </c>
      <c r="L629" s="38">
        <v>50000000</v>
      </c>
      <c r="M629" s="17" t="s">
        <v>258</v>
      </c>
      <c r="N629" s="67">
        <f>30*26*12</f>
        <v>9360</v>
      </c>
      <c r="O629" s="16" t="s">
        <v>1803</v>
      </c>
      <c r="P629" s="30">
        <v>252720000</v>
      </c>
      <c r="Q629" s="33" t="s">
        <v>1804</v>
      </c>
      <c r="R629" s="38">
        <f>110*12*4</f>
        <v>5280</v>
      </c>
      <c r="S629" s="16" t="s">
        <v>1806</v>
      </c>
      <c r="T629" s="30">
        <v>79200000</v>
      </c>
      <c r="U629" s="16" t="s">
        <v>22</v>
      </c>
      <c r="V629" s="20">
        <v>0</v>
      </c>
      <c r="W629" s="16">
        <v>0</v>
      </c>
      <c r="X629" s="16">
        <v>0</v>
      </c>
      <c r="Y629" s="16">
        <v>90</v>
      </c>
      <c r="Z629" s="16">
        <v>10</v>
      </c>
      <c r="AA629" s="16">
        <v>0</v>
      </c>
      <c r="AB629" s="16">
        <v>0</v>
      </c>
      <c r="AC629" s="16" t="s">
        <v>1807</v>
      </c>
      <c r="AD629" s="68"/>
      <c r="AE629" s="23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</row>
    <row r="630" spans="1:84" s="2" customFormat="1" x14ac:dyDescent="0.2">
      <c r="A630" s="17" t="s">
        <v>3921</v>
      </c>
      <c r="B630" s="17" t="s">
        <v>45</v>
      </c>
      <c r="C630" s="17">
        <v>2025</v>
      </c>
      <c r="D630" s="17" t="str">
        <f t="array" ref="D630">_xlfn.SWITCH(E630,"Bagor","35.18.14","Sukomoro",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30" s="16" t="s">
        <v>92</v>
      </c>
      <c r="F630" s="33" t="s">
        <v>1188</v>
      </c>
      <c r="G630" s="33" t="s">
        <v>1808</v>
      </c>
      <c r="H630" s="16" t="s">
        <v>31</v>
      </c>
      <c r="I630" s="16">
        <v>3</v>
      </c>
      <c r="J630" s="16">
        <v>4</v>
      </c>
      <c r="K630" s="16">
        <f t="shared" si="11"/>
        <v>7</v>
      </c>
      <c r="L630" s="38">
        <v>50000000</v>
      </c>
      <c r="M630" s="17" t="s">
        <v>258</v>
      </c>
      <c r="N630" s="67">
        <f>22*26*12</f>
        <v>6864</v>
      </c>
      <c r="O630" s="16" t="s">
        <v>1803</v>
      </c>
      <c r="P630" s="30">
        <v>233376000</v>
      </c>
      <c r="Q630" s="33" t="s">
        <v>1804</v>
      </c>
      <c r="R630" s="38">
        <f>32*26*12</f>
        <v>9984</v>
      </c>
      <c r="S630" s="16" t="s">
        <v>1806</v>
      </c>
      <c r="T630" s="30">
        <v>189696000</v>
      </c>
      <c r="U630" s="16" t="s">
        <v>22</v>
      </c>
      <c r="V630" s="20">
        <v>0</v>
      </c>
      <c r="W630" s="16">
        <v>0</v>
      </c>
      <c r="X630" s="16">
        <v>0</v>
      </c>
      <c r="Y630" s="16">
        <v>80</v>
      </c>
      <c r="Z630" s="16">
        <v>20</v>
      </c>
      <c r="AA630" s="16">
        <v>0</v>
      </c>
      <c r="AB630" s="16">
        <v>0</v>
      </c>
      <c r="AC630" s="16"/>
      <c r="AD630" s="68"/>
      <c r="AE630" s="23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</row>
    <row r="631" spans="1:84" s="2" customFormat="1" x14ac:dyDescent="0.2">
      <c r="A631" s="17" t="s">
        <v>3921</v>
      </c>
      <c r="B631" s="17" t="s">
        <v>45</v>
      </c>
      <c r="C631" s="17">
        <v>2025</v>
      </c>
      <c r="D631" s="17" t="str">
        <f t="array" ref="D631">_xlfn.SWITCH(E631,"Bagor","35.18.14","Sukomoro",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31" s="16" t="s">
        <v>92</v>
      </c>
      <c r="F631" s="33" t="s">
        <v>1188</v>
      </c>
      <c r="G631" s="33" t="s">
        <v>1809</v>
      </c>
      <c r="H631" s="16" t="s">
        <v>31</v>
      </c>
      <c r="I631" s="16">
        <v>6</v>
      </c>
      <c r="J631" s="16">
        <v>2</v>
      </c>
      <c r="K631" s="16">
        <f t="shared" si="11"/>
        <v>8</v>
      </c>
      <c r="L631" s="38">
        <v>20000000</v>
      </c>
      <c r="M631" s="17" t="s">
        <v>1810</v>
      </c>
      <c r="N631" s="67">
        <f>100*12</f>
        <v>1200</v>
      </c>
      <c r="O631" s="16" t="s">
        <v>49</v>
      </c>
      <c r="P631" s="30">
        <v>420000000</v>
      </c>
      <c r="Q631" s="33" t="s">
        <v>1811</v>
      </c>
      <c r="R631" s="38">
        <f>1500*12</f>
        <v>18000</v>
      </c>
      <c r="S631" s="16" t="s">
        <v>422</v>
      </c>
      <c r="T631" s="30">
        <v>270000000</v>
      </c>
      <c r="U631" s="16" t="s">
        <v>22</v>
      </c>
      <c r="V631" s="20">
        <v>0</v>
      </c>
      <c r="W631" s="16">
        <v>0</v>
      </c>
      <c r="X631" s="16">
        <v>0</v>
      </c>
      <c r="Y631" s="16">
        <v>80</v>
      </c>
      <c r="Z631" s="16">
        <v>20</v>
      </c>
      <c r="AA631" s="16">
        <v>0</v>
      </c>
      <c r="AB631" s="16">
        <v>0</v>
      </c>
      <c r="AC631" s="16"/>
      <c r="AD631" s="68"/>
      <c r="AE631" s="23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</row>
    <row r="632" spans="1:84" s="2" customFormat="1" ht="20" x14ac:dyDescent="0.2">
      <c r="A632" s="17" t="s">
        <v>3921</v>
      </c>
      <c r="B632" s="17" t="s">
        <v>45</v>
      </c>
      <c r="C632" s="17">
        <v>2025</v>
      </c>
      <c r="D632" s="17" t="str">
        <f t="array" ref="D632">_xlfn.SWITCH(E632,"Bagor","35.18.14","Sukomoro",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32" s="16" t="s">
        <v>92</v>
      </c>
      <c r="F632" s="33" t="s">
        <v>1812</v>
      </c>
      <c r="G632" s="33" t="s">
        <v>1813</v>
      </c>
      <c r="H632" s="16" t="s">
        <v>47</v>
      </c>
      <c r="I632" s="16">
        <v>6</v>
      </c>
      <c r="J632" s="16">
        <v>0</v>
      </c>
      <c r="K632" s="16">
        <f t="shared" si="11"/>
        <v>6</v>
      </c>
      <c r="L632" s="38">
        <v>100000000</v>
      </c>
      <c r="M632" s="17" t="s">
        <v>72</v>
      </c>
      <c r="N632" s="67">
        <f>5*26*12</f>
        <v>1560</v>
      </c>
      <c r="O632" s="16" t="s">
        <v>69</v>
      </c>
      <c r="P632" s="30">
        <v>1716000000</v>
      </c>
      <c r="Q632" s="33" t="s">
        <v>1814</v>
      </c>
      <c r="R632" s="38">
        <f>3*26*12</f>
        <v>936</v>
      </c>
      <c r="S632" s="16" t="s">
        <v>69</v>
      </c>
      <c r="T632" s="30">
        <v>374400000</v>
      </c>
      <c r="U632" s="16" t="s">
        <v>22</v>
      </c>
      <c r="V632" s="20" t="s">
        <v>1677</v>
      </c>
      <c r="W632" s="16"/>
      <c r="X632" s="16"/>
      <c r="Y632" s="16">
        <v>80</v>
      </c>
      <c r="Z632" s="16">
        <v>20</v>
      </c>
      <c r="AA632" s="16">
        <v>0</v>
      </c>
      <c r="AB632" s="16">
        <v>0</v>
      </c>
      <c r="AC632" s="16"/>
      <c r="AD632" s="68"/>
      <c r="AE632" s="23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</row>
    <row r="633" spans="1:84" s="2" customFormat="1" x14ac:dyDescent="0.2">
      <c r="A633" s="17" t="s">
        <v>3921</v>
      </c>
      <c r="B633" s="17" t="s">
        <v>45</v>
      </c>
      <c r="C633" s="17">
        <v>2025</v>
      </c>
      <c r="D633" s="17" t="str">
        <f t="array" ref="D633">_xlfn.SWITCH(E633,"Bagor","35.18.14","Sukomoro",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33" s="16" t="s">
        <v>92</v>
      </c>
      <c r="F633" s="33" t="s">
        <v>1188</v>
      </c>
      <c r="G633" s="33" t="s">
        <v>1815</v>
      </c>
      <c r="H633" s="16" t="s">
        <v>47</v>
      </c>
      <c r="I633" s="16">
        <v>4</v>
      </c>
      <c r="J633" s="16">
        <v>18</v>
      </c>
      <c r="K633" s="16">
        <f t="shared" si="11"/>
        <v>22</v>
      </c>
      <c r="L633" s="38">
        <v>125000000</v>
      </c>
      <c r="M633" s="17" t="s">
        <v>258</v>
      </c>
      <c r="N633" s="67">
        <f>60*26*12</f>
        <v>18720</v>
      </c>
      <c r="O633" s="16" t="s">
        <v>1803</v>
      </c>
      <c r="P633" s="30">
        <v>636480000</v>
      </c>
      <c r="Q633" s="33" t="s">
        <v>1804</v>
      </c>
      <c r="R633" s="38">
        <f>40*12*26</f>
        <v>12480</v>
      </c>
      <c r="S633" s="16" t="s">
        <v>1130</v>
      </c>
      <c r="T633" s="30">
        <v>240240000</v>
      </c>
      <c r="U633" s="16" t="s">
        <v>22</v>
      </c>
      <c r="V633" s="20">
        <v>0</v>
      </c>
      <c r="W633" s="16">
        <v>0</v>
      </c>
      <c r="X633" s="16">
        <v>0</v>
      </c>
      <c r="Y633" s="16">
        <v>80</v>
      </c>
      <c r="Z633" s="16">
        <v>20</v>
      </c>
      <c r="AA633" s="16">
        <v>0</v>
      </c>
      <c r="AB633" s="16">
        <v>0</v>
      </c>
      <c r="AC633" s="16"/>
      <c r="AD633" s="68"/>
      <c r="AE633" s="23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</row>
    <row r="634" spans="1:84" s="2" customFormat="1" x14ac:dyDescent="0.2">
      <c r="A634" s="17" t="s">
        <v>3921</v>
      </c>
      <c r="B634" s="17" t="s">
        <v>45</v>
      </c>
      <c r="C634" s="17">
        <v>2025</v>
      </c>
      <c r="D634" s="17" t="str">
        <f t="array" ref="D634">_xlfn.SWITCH(E634,"Bagor","35.18.14","Sukomoro",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4" s="16" t="s">
        <v>29</v>
      </c>
      <c r="F634" s="33" t="s">
        <v>1816</v>
      </c>
      <c r="G634" s="33" t="s">
        <v>1817</v>
      </c>
      <c r="H634" s="16" t="s">
        <v>31</v>
      </c>
      <c r="I634" s="16">
        <v>2</v>
      </c>
      <c r="J634" s="16">
        <v>0</v>
      </c>
      <c r="K634" s="16">
        <f t="shared" si="11"/>
        <v>2</v>
      </c>
      <c r="L634" s="38">
        <v>15000000</v>
      </c>
      <c r="M634" s="17" t="s">
        <v>1518</v>
      </c>
      <c r="N634" s="67">
        <v>132</v>
      </c>
      <c r="O634" s="16" t="s">
        <v>1263</v>
      </c>
      <c r="P634" s="30">
        <v>79200000</v>
      </c>
      <c r="Q634" s="33" t="s">
        <v>1680</v>
      </c>
      <c r="R634" s="38">
        <f>1.5*12</f>
        <v>18</v>
      </c>
      <c r="S634" s="16" t="s">
        <v>69</v>
      </c>
      <c r="T634" s="30">
        <v>39600000</v>
      </c>
      <c r="U634" s="16" t="s">
        <v>22</v>
      </c>
      <c r="V634" s="20">
        <v>0</v>
      </c>
      <c r="W634" s="16">
        <v>0</v>
      </c>
      <c r="X634" s="16">
        <v>0</v>
      </c>
      <c r="Y634" s="16">
        <v>50</v>
      </c>
      <c r="Z634" s="16">
        <v>30</v>
      </c>
      <c r="AA634" s="16">
        <v>20</v>
      </c>
      <c r="AB634" s="16">
        <v>0</v>
      </c>
      <c r="AC634" s="16"/>
      <c r="AD634" s="68"/>
      <c r="AE634" s="23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</row>
    <row r="635" spans="1:84" s="2" customFormat="1" x14ac:dyDescent="0.2">
      <c r="A635" s="17" t="s">
        <v>3921</v>
      </c>
      <c r="B635" s="17" t="s">
        <v>45</v>
      </c>
      <c r="C635" s="17">
        <v>2025</v>
      </c>
      <c r="D635" s="17" t="str">
        <f t="array" ref="D635">_xlfn.SWITCH(E635,"Bagor","35.18.14","Sukomoro",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5" s="16" t="s">
        <v>29</v>
      </c>
      <c r="F635" s="33" t="s">
        <v>1816</v>
      </c>
      <c r="G635" s="33" t="s">
        <v>1818</v>
      </c>
      <c r="H635" s="16" t="s">
        <v>31</v>
      </c>
      <c r="I635" s="16">
        <v>1</v>
      </c>
      <c r="J635" s="16">
        <v>0</v>
      </c>
      <c r="K635" s="16">
        <f t="shared" si="11"/>
        <v>1</v>
      </c>
      <c r="L635" s="38">
        <v>75000000</v>
      </c>
      <c r="M635" s="17" t="s">
        <v>1518</v>
      </c>
      <c r="N635" s="67">
        <f>20*12</f>
        <v>240</v>
      </c>
      <c r="O635" s="16" t="s">
        <v>1263</v>
      </c>
      <c r="P635" s="30">
        <v>144000000</v>
      </c>
      <c r="Q635" s="33" t="s">
        <v>1680</v>
      </c>
      <c r="R635" s="38">
        <v>12</v>
      </c>
      <c r="S635" s="16" t="s">
        <v>69</v>
      </c>
      <c r="T635" s="30">
        <v>28800000</v>
      </c>
      <c r="U635" s="16" t="s">
        <v>22</v>
      </c>
      <c r="V635" s="20">
        <v>0</v>
      </c>
      <c r="W635" s="16">
        <v>0</v>
      </c>
      <c r="X635" s="16">
        <v>0</v>
      </c>
      <c r="Y635" s="16">
        <v>80</v>
      </c>
      <c r="Z635" s="16">
        <v>20</v>
      </c>
      <c r="AA635" s="16">
        <v>0</v>
      </c>
      <c r="AB635" s="16">
        <v>0</v>
      </c>
      <c r="AC635" s="16"/>
      <c r="AD635" s="68"/>
      <c r="AE635" s="23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</row>
    <row r="636" spans="1:84" s="2" customFormat="1" x14ac:dyDescent="0.2">
      <c r="A636" s="17" t="s">
        <v>3921</v>
      </c>
      <c r="B636" s="17" t="s">
        <v>45</v>
      </c>
      <c r="C636" s="17">
        <v>2025</v>
      </c>
      <c r="D636" s="17" t="str">
        <f t="array" ref="D636">_xlfn.SWITCH(E636,"Bagor","35.18.14","Sukomoro",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6" s="16" t="s">
        <v>29</v>
      </c>
      <c r="F636" s="33" t="s">
        <v>1816</v>
      </c>
      <c r="G636" s="33" t="s">
        <v>1819</v>
      </c>
      <c r="H636" s="16" t="s">
        <v>31</v>
      </c>
      <c r="I636" s="16">
        <v>3</v>
      </c>
      <c r="J636" s="16">
        <v>0</v>
      </c>
      <c r="K636" s="16">
        <f t="shared" si="11"/>
        <v>3</v>
      </c>
      <c r="L636" s="38">
        <v>15000000</v>
      </c>
      <c r="M636" s="17" t="s">
        <v>1518</v>
      </c>
      <c r="N636" s="67">
        <f>25*12</f>
        <v>300</v>
      </c>
      <c r="O636" s="16" t="s">
        <v>1263</v>
      </c>
      <c r="P636" s="30">
        <v>180000000</v>
      </c>
      <c r="Q636" s="33" t="s">
        <v>1680</v>
      </c>
      <c r="R636" s="38">
        <f>4*12</f>
        <v>48</v>
      </c>
      <c r="S636" s="16" t="s">
        <v>69</v>
      </c>
      <c r="T636" s="30">
        <v>144000000</v>
      </c>
      <c r="U636" s="16" t="s">
        <v>22</v>
      </c>
      <c r="V636" s="20">
        <v>0</v>
      </c>
      <c r="W636" s="16">
        <v>0</v>
      </c>
      <c r="X636" s="16">
        <v>0</v>
      </c>
      <c r="Y636" s="16">
        <v>75</v>
      </c>
      <c r="Z636" s="16">
        <v>25</v>
      </c>
      <c r="AA636" s="16">
        <v>0</v>
      </c>
      <c r="AB636" s="16">
        <v>0</v>
      </c>
      <c r="AC636" s="16"/>
      <c r="AD636" s="68"/>
      <c r="AE636" s="23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</row>
    <row r="637" spans="1:84" s="2" customFormat="1" x14ac:dyDescent="0.2">
      <c r="A637" s="17" t="s">
        <v>3921</v>
      </c>
      <c r="B637" s="17" t="s">
        <v>45</v>
      </c>
      <c r="C637" s="17">
        <v>2025</v>
      </c>
      <c r="D637" s="17" t="str">
        <f t="array" ref="D637">_xlfn.SWITCH(E637,"Bagor","35.18.14","Sukomoro",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7" s="16" t="s">
        <v>29</v>
      </c>
      <c r="F637" s="33" t="s">
        <v>1816</v>
      </c>
      <c r="G637" s="33" t="s">
        <v>1687</v>
      </c>
      <c r="H637" s="16" t="s">
        <v>31</v>
      </c>
      <c r="I637" s="16">
        <v>4</v>
      </c>
      <c r="J637" s="16">
        <v>0</v>
      </c>
      <c r="K637" s="16">
        <f t="shared" si="11"/>
        <v>4</v>
      </c>
      <c r="L637" s="38">
        <v>50000000</v>
      </c>
      <c r="M637" s="17" t="s">
        <v>1518</v>
      </c>
      <c r="N637" s="67">
        <f>14*12</f>
        <v>168</v>
      </c>
      <c r="O637" s="16" t="s">
        <v>1263</v>
      </c>
      <c r="P637" s="30">
        <v>126000000</v>
      </c>
      <c r="Q637" s="33" t="s">
        <v>1680</v>
      </c>
      <c r="R637" s="38">
        <f>8*12</f>
        <v>96</v>
      </c>
      <c r="S637" s="16" t="s">
        <v>69</v>
      </c>
      <c r="T637" s="30">
        <v>72000000</v>
      </c>
      <c r="U637" s="16" t="s">
        <v>22</v>
      </c>
      <c r="V637" s="20">
        <v>0</v>
      </c>
      <c r="W637" s="16">
        <v>0</v>
      </c>
      <c r="X637" s="16">
        <v>0</v>
      </c>
      <c r="Y637" s="16">
        <v>25</v>
      </c>
      <c r="Z637" s="16">
        <v>35</v>
      </c>
      <c r="AA637" s="16">
        <v>40</v>
      </c>
      <c r="AB637" s="16">
        <v>0</v>
      </c>
      <c r="AC637" s="16"/>
      <c r="AD637" s="68"/>
      <c r="AE637" s="23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</row>
    <row r="638" spans="1:84" s="2" customFormat="1" x14ac:dyDescent="0.2">
      <c r="A638" s="17" t="s">
        <v>3921</v>
      </c>
      <c r="B638" s="17" t="s">
        <v>45</v>
      </c>
      <c r="C638" s="17">
        <v>2025</v>
      </c>
      <c r="D638" s="17" t="str">
        <f t="array" ref="D638">_xlfn.SWITCH(E638,"Bagor","35.18.14","Sukomoro",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8" s="16" t="s">
        <v>29</v>
      </c>
      <c r="F638" s="33" t="s">
        <v>1816</v>
      </c>
      <c r="G638" s="33" t="s">
        <v>1820</v>
      </c>
      <c r="H638" s="16" t="s">
        <v>31</v>
      </c>
      <c r="I638" s="16">
        <v>4</v>
      </c>
      <c r="J638" s="16">
        <v>0</v>
      </c>
      <c r="K638" s="16">
        <f t="shared" si="11"/>
        <v>4</v>
      </c>
      <c r="L638" s="38">
        <v>30000000</v>
      </c>
      <c r="M638" s="17" t="s">
        <v>1518</v>
      </c>
      <c r="N638" s="67">
        <f>24*12</f>
        <v>288</v>
      </c>
      <c r="O638" s="16" t="s">
        <v>1263</v>
      </c>
      <c r="P638" s="30">
        <v>172800000</v>
      </c>
      <c r="Q638" s="33" t="s">
        <v>1680</v>
      </c>
      <c r="R638" s="38">
        <f>8*12</f>
        <v>96</v>
      </c>
      <c r="S638" s="16" t="s">
        <v>69</v>
      </c>
      <c r="T638" s="30">
        <v>91200000</v>
      </c>
      <c r="U638" s="16" t="s">
        <v>22</v>
      </c>
      <c r="V638" s="20">
        <v>0</v>
      </c>
      <c r="W638" s="16">
        <v>0</v>
      </c>
      <c r="X638" s="16">
        <v>0</v>
      </c>
      <c r="Y638" s="16">
        <v>65</v>
      </c>
      <c r="Z638" s="16">
        <v>35</v>
      </c>
      <c r="AA638" s="16">
        <v>0</v>
      </c>
      <c r="AB638" s="16">
        <v>0</v>
      </c>
      <c r="AC638" s="16"/>
      <c r="AD638" s="68"/>
      <c r="AE638" s="23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</row>
    <row r="639" spans="1:84" s="2" customFormat="1" x14ac:dyDescent="0.2">
      <c r="A639" s="17" t="s">
        <v>3921</v>
      </c>
      <c r="B639" s="17" t="s">
        <v>45</v>
      </c>
      <c r="C639" s="17">
        <v>2025</v>
      </c>
      <c r="D639" s="17" t="str">
        <f t="array" ref="D639">_xlfn.SWITCH(E639,"Bagor","35.18.14","Sukomoro",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9" s="16" t="s">
        <v>29</v>
      </c>
      <c r="F639" s="33" t="s">
        <v>1816</v>
      </c>
      <c r="G639" s="33" t="s">
        <v>1821</v>
      </c>
      <c r="H639" s="16" t="s">
        <v>31</v>
      </c>
      <c r="I639" s="16">
        <v>1</v>
      </c>
      <c r="J639" s="16">
        <v>0</v>
      </c>
      <c r="K639" s="16">
        <f t="shared" si="11"/>
        <v>1</v>
      </c>
      <c r="L639" s="38">
        <v>3000000</v>
      </c>
      <c r="M639" s="17" t="s">
        <v>1518</v>
      </c>
      <c r="N639" s="67">
        <f>7*12</f>
        <v>84</v>
      </c>
      <c r="O639" s="16" t="s">
        <v>1263</v>
      </c>
      <c r="P639" s="30">
        <v>50400000</v>
      </c>
      <c r="Q639" s="33" t="s">
        <v>1680</v>
      </c>
      <c r="R639" s="38">
        <v>12</v>
      </c>
      <c r="S639" s="16" t="s">
        <v>69</v>
      </c>
      <c r="T639" s="30">
        <v>21600000</v>
      </c>
      <c r="U639" s="16" t="s">
        <v>22</v>
      </c>
      <c r="V639" s="20">
        <v>0</v>
      </c>
      <c r="W639" s="16">
        <v>0</v>
      </c>
      <c r="X639" s="16">
        <v>0</v>
      </c>
      <c r="Y639" s="16">
        <v>55</v>
      </c>
      <c r="Z639" s="16">
        <v>45</v>
      </c>
      <c r="AA639" s="16">
        <v>0</v>
      </c>
      <c r="AB639" s="16">
        <v>0</v>
      </c>
      <c r="AC639" s="16"/>
      <c r="AD639" s="68"/>
      <c r="AE639" s="23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</row>
    <row r="640" spans="1:84" s="2" customFormat="1" x14ac:dyDescent="0.2">
      <c r="A640" s="17" t="s">
        <v>3921</v>
      </c>
      <c r="B640" s="17" t="s">
        <v>45</v>
      </c>
      <c r="C640" s="17">
        <v>2025</v>
      </c>
      <c r="D640" s="17" t="str">
        <f t="array" ref="D640">_xlfn.SWITCH(E640,"Bagor","35.18.14","Sukomoro",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0" s="16" t="s">
        <v>29</v>
      </c>
      <c r="F640" s="33" t="s">
        <v>1816</v>
      </c>
      <c r="G640" s="33" t="s">
        <v>1822</v>
      </c>
      <c r="H640" s="16" t="s">
        <v>31</v>
      </c>
      <c r="I640" s="16">
        <v>1</v>
      </c>
      <c r="J640" s="16">
        <v>0</v>
      </c>
      <c r="K640" s="16">
        <f t="shared" si="11"/>
        <v>1</v>
      </c>
      <c r="L640" s="38">
        <v>15000000</v>
      </c>
      <c r="M640" s="17" t="s">
        <v>1518</v>
      </c>
      <c r="N640" s="67">
        <f>10*12</f>
        <v>120</v>
      </c>
      <c r="O640" s="16" t="s">
        <v>1263</v>
      </c>
      <c r="P640" s="30">
        <v>90000000</v>
      </c>
      <c r="Q640" s="33" t="s">
        <v>1680</v>
      </c>
      <c r="R640" s="38">
        <v>24</v>
      </c>
      <c r="S640" s="16" t="s">
        <v>69</v>
      </c>
      <c r="T640" s="30">
        <v>43200000</v>
      </c>
      <c r="U640" s="16" t="s">
        <v>22</v>
      </c>
      <c r="V640" s="20">
        <v>0</v>
      </c>
      <c r="W640" s="16">
        <v>0</v>
      </c>
      <c r="X640" s="16">
        <v>0</v>
      </c>
      <c r="Y640" s="16">
        <v>60</v>
      </c>
      <c r="Z640" s="16">
        <v>40</v>
      </c>
      <c r="AA640" s="16">
        <v>0</v>
      </c>
      <c r="AB640" s="16">
        <v>0</v>
      </c>
      <c r="AC640" s="16"/>
      <c r="AD640" s="68"/>
      <c r="AE640" s="23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</row>
    <row r="641" spans="1:84" s="2" customFormat="1" x14ac:dyDescent="0.2">
      <c r="A641" s="17" t="s">
        <v>3921</v>
      </c>
      <c r="B641" s="17" t="s">
        <v>45</v>
      </c>
      <c r="C641" s="17">
        <v>2025</v>
      </c>
      <c r="D641" s="17" t="str">
        <f t="array" ref="D641">_xlfn.SWITCH(E641,"Bagor","35.18.14","Sukomoro",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1" s="16" t="s">
        <v>29</v>
      </c>
      <c r="F641" s="33" t="s">
        <v>1816</v>
      </c>
      <c r="G641" s="33" t="s">
        <v>1823</v>
      </c>
      <c r="H641" s="16" t="s">
        <v>31</v>
      </c>
      <c r="I641" s="16">
        <v>1</v>
      </c>
      <c r="J641" s="16">
        <v>0</v>
      </c>
      <c r="K641" s="16">
        <f t="shared" si="11"/>
        <v>1</v>
      </c>
      <c r="L641" s="38">
        <v>10000000</v>
      </c>
      <c r="M641" s="17" t="s">
        <v>1518</v>
      </c>
      <c r="N641" s="67">
        <f>15*12</f>
        <v>180</v>
      </c>
      <c r="O641" s="16" t="s">
        <v>1263</v>
      </c>
      <c r="P641" s="30">
        <v>108000000</v>
      </c>
      <c r="Q641" s="33" t="s">
        <v>1680</v>
      </c>
      <c r="R641" s="38">
        <v>24</v>
      </c>
      <c r="S641" s="16" t="s">
        <v>69</v>
      </c>
      <c r="T641" s="30">
        <v>60000000</v>
      </c>
      <c r="U641" s="16" t="s">
        <v>22</v>
      </c>
      <c r="V641" s="20">
        <v>0</v>
      </c>
      <c r="W641" s="16">
        <v>0</v>
      </c>
      <c r="X641" s="16">
        <v>0</v>
      </c>
      <c r="Y641" s="16">
        <v>90</v>
      </c>
      <c r="Z641" s="16">
        <v>10</v>
      </c>
      <c r="AA641" s="16">
        <v>0</v>
      </c>
      <c r="AB641" s="16">
        <v>0</v>
      </c>
      <c r="AC641" s="16"/>
      <c r="AD641" s="68"/>
      <c r="AE641" s="23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</row>
    <row r="642" spans="1:84" s="2" customFormat="1" x14ac:dyDescent="0.2">
      <c r="A642" s="17" t="s">
        <v>3921</v>
      </c>
      <c r="B642" s="17" t="s">
        <v>45</v>
      </c>
      <c r="C642" s="17">
        <v>2025</v>
      </c>
      <c r="D642" s="17" t="str">
        <f t="array" ref="D642">_xlfn.SWITCH(E642,"Bagor","35.18.14","Sukomoro",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2" s="16" t="s">
        <v>29</v>
      </c>
      <c r="F642" s="33" t="s">
        <v>1816</v>
      </c>
      <c r="G642" s="33" t="s">
        <v>1824</v>
      </c>
      <c r="H642" s="16" t="s">
        <v>31</v>
      </c>
      <c r="I642" s="16">
        <v>2</v>
      </c>
      <c r="J642" s="16">
        <v>0</v>
      </c>
      <c r="K642" s="16">
        <f t="shared" ref="K642:K705" si="12">I642+J642</f>
        <v>2</v>
      </c>
      <c r="L642" s="38">
        <v>50000000</v>
      </c>
      <c r="M642" s="17" t="s">
        <v>1518</v>
      </c>
      <c r="N642" s="67">
        <f>30*12</f>
        <v>360</v>
      </c>
      <c r="O642" s="16" t="s">
        <v>1263</v>
      </c>
      <c r="P642" s="30">
        <v>216000000</v>
      </c>
      <c r="Q642" s="33" t="s">
        <v>1680</v>
      </c>
      <c r="R642" s="38">
        <f>3*12</f>
        <v>36</v>
      </c>
      <c r="S642" s="16" t="s">
        <v>69</v>
      </c>
      <c r="T642" s="30">
        <v>126000000</v>
      </c>
      <c r="U642" s="16" t="s">
        <v>22</v>
      </c>
      <c r="V642" s="20">
        <v>0</v>
      </c>
      <c r="W642" s="16">
        <v>0</v>
      </c>
      <c r="X642" s="16">
        <v>0</v>
      </c>
      <c r="Y642" s="16">
        <v>80</v>
      </c>
      <c r="Z642" s="16">
        <v>20</v>
      </c>
      <c r="AA642" s="16">
        <v>0</v>
      </c>
      <c r="AB642" s="16">
        <v>0</v>
      </c>
      <c r="AC642" s="16"/>
      <c r="AD642" s="68"/>
      <c r="AE642" s="23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</row>
    <row r="643" spans="1:84" s="2" customFormat="1" x14ac:dyDescent="0.2">
      <c r="A643" s="17" t="s">
        <v>3921</v>
      </c>
      <c r="B643" s="17" t="s">
        <v>45</v>
      </c>
      <c r="C643" s="17">
        <v>2025</v>
      </c>
      <c r="D643" s="17" t="str">
        <f t="array" ref="D643">_xlfn.SWITCH(E643,"Bagor","35.18.14","Sukomoro",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3" s="16" t="s">
        <v>29</v>
      </c>
      <c r="F643" s="33" t="s">
        <v>1816</v>
      </c>
      <c r="G643" s="33" t="s">
        <v>1825</v>
      </c>
      <c r="H643" s="16" t="s">
        <v>47</v>
      </c>
      <c r="I643" s="16">
        <v>7</v>
      </c>
      <c r="J643" s="16">
        <v>0</v>
      </c>
      <c r="K643" s="16">
        <f t="shared" si="12"/>
        <v>7</v>
      </c>
      <c r="L643" s="38">
        <v>100000000</v>
      </c>
      <c r="M643" s="17" t="s">
        <v>1518</v>
      </c>
      <c r="N643" s="67">
        <f>8*12</f>
        <v>96</v>
      </c>
      <c r="O643" s="16" t="s">
        <v>1263</v>
      </c>
      <c r="P643" s="30">
        <v>172800000</v>
      </c>
      <c r="Q643" s="33" t="s">
        <v>1680</v>
      </c>
      <c r="R643" s="38">
        <f>10*12</f>
        <v>120</v>
      </c>
      <c r="S643" s="16" t="s">
        <v>69</v>
      </c>
      <c r="T643" s="30">
        <v>114000000</v>
      </c>
      <c r="U643" s="16" t="s">
        <v>22</v>
      </c>
      <c r="V643" s="20">
        <v>0</v>
      </c>
      <c r="W643" s="16">
        <v>0</v>
      </c>
      <c r="X643" s="16">
        <v>0</v>
      </c>
      <c r="Y643" s="16">
        <v>90</v>
      </c>
      <c r="Z643" s="16">
        <v>10</v>
      </c>
      <c r="AA643" s="16">
        <v>0</v>
      </c>
      <c r="AB643" s="16">
        <v>0</v>
      </c>
      <c r="AC643" s="16"/>
      <c r="AD643" s="68"/>
      <c r="AE643" s="23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</row>
    <row r="644" spans="1:84" s="2" customFormat="1" x14ac:dyDescent="0.2">
      <c r="A644" s="17" t="s">
        <v>3921</v>
      </c>
      <c r="B644" s="17" t="s">
        <v>45</v>
      </c>
      <c r="C644" s="17">
        <v>2025</v>
      </c>
      <c r="D644" s="17" t="str">
        <f t="array" ref="D644">_xlfn.SWITCH(E644,"Bagor","35.18.14","Sukomoro",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4" s="16" t="s">
        <v>29</v>
      </c>
      <c r="F644" s="33" t="s">
        <v>1816</v>
      </c>
      <c r="G644" s="33" t="s">
        <v>1826</v>
      </c>
      <c r="H644" s="16" t="s">
        <v>31</v>
      </c>
      <c r="I644" s="16">
        <v>3</v>
      </c>
      <c r="J644" s="16">
        <v>0</v>
      </c>
      <c r="K644" s="16">
        <f t="shared" si="12"/>
        <v>3</v>
      </c>
      <c r="L644" s="38">
        <v>75000000</v>
      </c>
      <c r="M644" s="17" t="s">
        <v>1518</v>
      </c>
      <c r="N644" s="67">
        <f>4*12</f>
        <v>48</v>
      </c>
      <c r="O644" s="16" t="s">
        <v>1263</v>
      </c>
      <c r="P644" s="30">
        <v>120000000</v>
      </c>
      <c r="Q644" s="33" t="s">
        <v>1680</v>
      </c>
      <c r="R644" s="38">
        <f>3*12</f>
        <v>36</v>
      </c>
      <c r="S644" s="16" t="s">
        <v>69</v>
      </c>
      <c r="T644" s="30">
        <v>97200000</v>
      </c>
      <c r="U644" s="16" t="s">
        <v>22</v>
      </c>
      <c r="V644" s="20" t="s">
        <v>1677</v>
      </c>
      <c r="W644" s="16"/>
      <c r="X644" s="16"/>
      <c r="Y644" s="16">
        <v>65</v>
      </c>
      <c r="Z644" s="16">
        <v>35</v>
      </c>
      <c r="AA644" s="16">
        <v>0</v>
      </c>
      <c r="AB644" s="16">
        <v>0</v>
      </c>
      <c r="AC644" s="16"/>
      <c r="AD644" s="68"/>
      <c r="AE644" s="23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</row>
    <row r="645" spans="1:84" s="2" customFormat="1" x14ac:dyDescent="0.2">
      <c r="A645" s="17" t="s">
        <v>3921</v>
      </c>
      <c r="B645" s="17" t="s">
        <v>45</v>
      </c>
      <c r="C645" s="17">
        <v>2025</v>
      </c>
      <c r="D645" s="17" t="str">
        <f t="array" ref="D645">_xlfn.SWITCH(E645,"Bagor","35.18.14","Sukomoro",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5" s="16" t="s">
        <v>29</v>
      </c>
      <c r="F645" s="33" t="s">
        <v>1816</v>
      </c>
      <c r="G645" s="33" t="s">
        <v>1827</v>
      </c>
      <c r="H645" s="16" t="s">
        <v>31</v>
      </c>
      <c r="I645" s="16">
        <v>3</v>
      </c>
      <c r="J645" s="16">
        <v>0</v>
      </c>
      <c r="K645" s="16">
        <f t="shared" si="12"/>
        <v>3</v>
      </c>
      <c r="L645" s="38">
        <v>50000000</v>
      </c>
      <c r="M645" s="17" t="s">
        <v>1518</v>
      </c>
      <c r="N645" s="67">
        <f>8*12</f>
        <v>96</v>
      </c>
      <c r="O645" s="16" t="s">
        <v>1263</v>
      </c>
      <c r="P645" s="30">
        <v>105600000</v>
      </c>
      <c r="Q645" s="33" t="s">
        <v>1680</v>
      </c>
      <c r="R645" s="38">
        <f>6*12</f>
        <v>72</v>
      </c>
      <c r="S645" s="16" t="s">
        <v>69</v>
      </c>
      <c r="T645" s="30">
        <v>68400000</v>
      </c>
      <c r="U645" s="16" t="s">
        <v>22</v>
      </c>
      <c r="V645" s="20">
        <v>0</v>
      </c>
      <c r="W645" s="16">
        <v>0</v>
      </c>
      <c r="X645" s="16">
        <v>0</v>
      </c>
      <c r="Y645" s="16">
        <v>90</v>
      </c>
      <c r="Z645" s="16">
        <v>10</v>
      </c>
      <c r="AA645" s="16">
        <v>0</v>
      </c>
      <c r="AB645" s="16">
        <v>0</v>
      </c>
      <c r="AC645" s="16"/>
      <c r="AD645" s="68"/>
      <c r="AE645" s="23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</row>
    <row r="646" spans="1:84" s="2" customFormat="1" x14ac:dyDescent="0.2">
      <c r="A646" s="17" t="s">
        <v>3921</v>
      </c>
      <c r="B646" s="17" t="s">
        <v>45</v>
      </c>
      <c r="C646" s="17">
        <v>2025</v>
      </c>
      <c r="D646" s="17" t="str">
        <f t="array" ref="D646">_xlfn.SWITCH(E646,"Bagor","35.18.14","Sukomoro",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6" s="16" t="s">
        <v>29</v>
      </c>
      <c r="F646" s="33" t="s">
        <v>1816</v>
      </c>
      <c r="G646" s="33" t="s">
        <v>1828</v>
      </c>
      <c r="H646" s="16" t="s">
        <v>31</v>
      </c>
      <c r="I646" s="16">
        <v>2</v>
      </c>
      <c r="J646" s="16">
        <v>0</v>
      </c>
      <c r="K646" s="16">
        <f t="shared" si="12"/>
        <v>2</v>
      </c>
      <c r="L646" s="38">
        <v>20000000</v>
      </c>
      <c r="M646" s="17" t="s">
        <v>1518</v>
      </c>
      <c r="N646" s="67">
        <f>7*12</f>
        <v>84</v>
      </c>
      <c r="O646" s="16" t="s">
        <v>1263</v>
      </c>
      <c r="P646" s="30">
        <v>42000000</v>
      </c>
      <c r="Q646" s="33" t="s">
        <v>1680</v>
      </c>
      <c r="R646" s="38">
        <f>2*12</f>
        <v>24</v>
      </c>
      <c r="S646" s="16" t="s">
        <v>69</v>
      </c>
      <c r="T646" s="30">
        <v>24000000</v>
      </c>
      <c r="U646" s="16" t="s">
        <v>22</v>
      </c>
      <c r="V646" s="20">
        <v>0</v>
      </c>
      <c r="W646" s="16">
        <v>0</v>
      </c>
      <c r="X646" s="16">
        <v>0</v>
      </c>
      <c r="Y646" s="16">
        <v>75</v>
      </c>
      <c r="Z646" s="16">
        <v>25</v>
      </c>
      <c r="AA646" s="16">
        <v>0</v>
      </c>
      <c r="AB646" s="16">
        <v>0</v>
      </c>
      <c r="AC646" s="16"/>
      <c r="AD646" s="68"/>
      <c r="AE646" s="23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</row>
    <row r="647" spans="1:84" s="2" customFormat="1" x14ac:dyDescent="0.2">
      <c r="A647" s="17" t="s">
        <v>3921</v>
      </c>
      <c r="B647" s="17" t="s">
        <v>45</v>
      </c>
      <c r="C647" s="17">
        <v>2025</v>
      </c>
      <c r="D647" s="17" t="str">
        <f t="array" ref="D647">_xlfn.SWITCH(E647,"Bagor","35.18.14","Sukomoro",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7" s="16" t="s">
        <v>29</v>
      </c>
      <c r="F647" s="33" t="s">
        <v>1816</v>
      </c>
      <c r="G647" s="33" t="s">
        <v>1829</v>
      </c>
      <c r="H647" s="16" t="s">
        <v>31</v>
      </c>
      <c r="I647" s="16">
        <v>2</v>
      </c>
      <c r="J647" s="16">
        <v>0</v>
      </c>
      <c r="K647" s="16">
        <f t="shared" si="12"/>
        <v>2</v>
      </c>
      <c r="L647" s="38">
        <v>15000000</v>
      </c>
      <c r="M647" s="17" t="s">
        <v>1518</v>
      </c>
      <c r="N647" s="67">
        <f>7*12</f>
        <v>84</v>
      </c>
      <c r="O647" s="16" t="s">
        <v>1263</v>
      </c>
      <c r="P647" s="30">
        <v>37800000</v>
      </c>
      <c r="Q647" s="33" t="s">
        <v>1680</v>
      </c>
      <c r="R647" s="38">
        <f>3*12</f>
        <v>36</v>
      </c>
      <c r="S647" s="16" t="s">
        <v>69</v>
      </c>
      <c r="T647" s="30">
        <v>16200000</v>
      </c>
      <c r="U647" s="16" t="s">
        <v>22</v>
      </c>
      <c r="V647" s="20">
        <v>0</v>
      </c>
      <c r="W647" s="16">
        <v>0</v>
      </c>
      <c r="X647" s="16">
        <v>0</v>
      </c>
      <c r="Y647" s="16">
        <v>90</v>
      </c>
      <c r="Z647" s="16">
        <v>10</v>
      </c>
      <c r="AA647" s="16">
        <v>0</v>
      </c>
      <c r="AB647" s="16">
        <v>0</v>
      </c>
      <c r="AC647" s="16"/>
      <c r="AD647" s="68"/>
      <c r="AE647" s="23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</row>
    <row r="648" spans="1:84" s="2" customFormat="1" x14ac:dyDescent="0.2">
      <c r="A648" s="17" t="s">
        <v>3921</v>
      </c>
      <c r="B648" s="17" t="s">
        <v>45</v>
      </c>
      <c r="C648" s="17">
        <v>2025</v>
      </c>
      <c r="D648" s="17" t="str">
        <f t="array" ref="D648">_xlfn.SWITCH(E648,"Bagor","35.18.14","Sukomoro",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8" s="16" t="s">
        <v>29</v>
      </c>
      <c r="F648" s="33" t="s">
        <v>1816</v>
      </c>
      <c r="G648" s="33" t="s">
        <v>1830</v>
      </c>
      <c r="H648" s="16" t="s">
        <v>31</v>
      </c>
      <c r="I648" s="16">
        <v>3</v>
      </c>
      <c r="J648" s="16">
        <v>0</v>
      </c>
      <c r="K648" s="16">
        <f t="shared" si="12"/>
        <v>3</v>
      </c>
      <c r="L648" s="38">
        <v>25000000</v>
      </c>
      <c r="M648" s="17" t="s">
        <v>1518</v>
      </c>
      <c r="N648" s="67">
        <f>9*12</f>
        <v>108</v>
      </c>
      <c r="O648" s="16" t="s">
        <v>1263</v>
      </c>
      <c r="P648" s="30">
        <v>81000000</v>
      </c>
      <c r="Q648" s="33" t="s">
        <v>1680</v>
      </c>
      <c r="R648" s="38">
        <f>7*12</f>
        <v>84</v>
      </c>
      <c r="S648" s="16" t="s">
        <v>69</v>
      </c>
      <c r="T648" s="30">
        <v>37800000</v>
      </c>
      <c r="U648" s="16" t="s">
        <v>22</v>
      </c>
      <c r="V648" s="20">
        <v>0</v>
      </c>
      <c r="W648" s="16">
        <v>0</v>
      </c>
      <c r="X648" s="16">
        <v>0</v>
      </c>
      <c r="Y648" s="16">
        <v>80</v>
      </c>
      <c r="Z648" s="16">
        <v>20</v>
      </c>
      <c r="AA648" s="16">
        <v>0</v>
      </c>
      <c r="AB648" s="16">
        <v>0</v>
      </c>
      <c r="AC648" s="16"/>
      <c r="AD648" s="68"/>
      <c r="AE648" s="23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</row>
    <row r="649" spans="1:84" s="2" customFormat="1" x14ac:dyDescent="0.2">
      <c r="A649" s="17" t="s">
        <v>3921</v>
      </c>
      <c r="B649" s="17" t="s">
        <v>45</v>
      </c>
      <c r="C649" s="17">
        <v>2025</v>
      </c>
      <c r="D649" s="17" t="str">
        <f t="array" ref="D649">_xlfn.SWITCH(E649,"Bagor","35.18.14","Sukomoro",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9" s="16" t="s">
        <v>29</v>
      </c>
      <c r="F649" s="33" t="s">
        <v>1816</v>
      </c>
      <c r="G649" s="33" t="s">
        <v>1831</v>
      </c>
      <c r="H649" s="16" t="s">
        <v>47</v>
      </c>
      <c r="I649" s="16">
        <v>3</v>
      </c>
      <c r="J649" s="16">
        <v>0</v>
      </c>
      <c r="K649" s="16">
        <f t="shared" si="12"/>
        <v>3</v>
      </c>
      <c r="L649" s="38">
        <v>50000000</v>
      </c>
      <c r="M649" s="17" t="s">
        <v>1518</v>
      </c>
      <c r="N649" s="67">
        <f>6*12</f>
        <v>72</v>
      </c>
      <c r="O649" s="16" t="s">
        <v>1263</v>
      </c>
      <c r="P649" s="30">
        <v>93600000</v>
      </c>
      <c r="Q649" s="33" t="s">
        <v>1680</v>
      </c>
      <c r="R649" s="38">
        <f>5*12</f>
        <v>60</v>
      </c>
      <c r="S649" s="16" t="s">
        <v>69</v>
      </c>
      <c r="T649" s="30">
        <v>45000000</v>
      </c>
      <c r="U649" s="16" t="s">
        <v>22</v>
      </c>
      <c r="V649" s="20">
        <v>0</v>
      </c>
      <c r="W649" s="16">
        <v>0</v>
      </c>
      <c r="X649" s="16">
        <v>0</v>
      </c>
      <c r="Y649" s="16">
        <v>100</v>
      </c>
      <c r="Z649" s="16">
        <v>0</v>
      </c>
      <c r="AA649" s="16">
        <v>0</v>
      </c>
      <c r="AB649" s="16">
        <v>0</v>
      </c>
      <c r="AC649" s="16"/>
      <c r="AD649" s="68"/>
      <c r="AE649" s="23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</row>
    <row r="650" spans="1:84" s="2" customFormat="1" x14ac:dyDescent="0.2">
      <c r="A650" s="17" t="s">
        <v>3921</v>
      </c>
      <c r="B650" s="17" t="s">
        <v>45</v>
      </c>
      <c r="C650" s="17">
        <v>2025</v>
      </c>
      <c r="D650" s="17" t="str">
        <f t="array" ref="D650">_xlfn.SWITCH(E650,"Bagor","35.18.14","Sukomoro",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0" s="16" t="s">
        <v>29</v>
      </c>
      <c r="F650" s="33" t="s">
        <v>1816</v>
      </c>
      <c r="G650" s="33" t="s">
        <v>1832</v>
      </c>
      <c r="H650" s="16" t="s">
        <v>47</v>
      </c>
      <c r="I650" s="16">
        <v>3</v>
      </c>
      <c r="J650" s="16">
        <v>0</v>
      </c>
      <c r="K650" s="16">
        <f t="shared" si="12"/>
        <v>3</v>
      </c>
      <c r="L650" s="38">
        <v>25000000</v>
      </c>
      <c r="M650" s="17" t="s">
        <v>1518</v>
      </c>
      <c r="N650" s="67">
        <f>7*12</f>
        <v>84</v>
      </c>
      <c r="O650" s="16" t="s">
        <v>1263</v>
      </c>
      <c r="P650" s="30">
        <v>79800000</v>
      </c>
      <c r="Q650" s="33" t="s">
        <v>1680</v>
      </c>
      <c r="R650" s="38">
        <f>7*12</f>
        <v>84</v>
      </c>
      <c r="S650" s="16" t="s">
        <v>69</v>
      </c>
      <c r="T650" s="30">
        <v>37800000</v>
      </c>
      <c r="U650" s="16" t="s">
        <v>22</v>
      </c>
      <c r="V650" s="20">
        <v>0</v>
      </c>
      <c r="W650" s="16">
        <v>0</v>
      </c>
      <c r="X650" s="16">
        <v>0</v>
      </c>
      <c r="Y650" s="16">
        <v>100</v>
      </c>
      <c r="Z650" s="16">
        <v>0</v>
      </c>
      <c r="AA650" s="16">
        <v>0</v>
      </c>
      <c r="AB650" s="16">
        <v>0</v>
      </c>
      <c r="AC650" s="16"/>
      <c r="AD650" s="68"/>
      <c r="AE650" s="23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</row>
    <row r="651" spans="1:84" s="2" customFormat="1" x14ac:dyDescent="0.2">
      <c r="A651" s="17" t="s">
        <v>3921</v>
      </c>
      <c r="B651" s="17" t="s">
        <v>45</v>
      </c>
      <c r="C651" s="17">
        <v>2025</v>
      </c>
      <c r="D651" s="17" t="str">
        <f t="array" ref="D651">_xlfn.SWITCH(E651,"Bagor","35.18.14","Sukomoro",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1" s="16" t="s">
        <v>29</v>
      </c>
      <c r="F651" s="33" t="s">
        <v>1816</v>
      </c>
      <c r="G651" s="33" t="s">
        <v>1833</v>
      </c>
      <c r="H651" s="16" t="s">
        <v>31</v>
      </c>
      <c r="I651" s="16">
        <v>4</v>
      </c>
      <c r="J651" s="16">
        <v>0</v>
      </c>
      <c r="K651" s="16">
        <f t="shared" si="12"/>
        <v>4</v>
      </c>
      <c r="L651" s="38">
        <v>25000000</v>
      </c>
      <c r="M651" s="17" t="s">
        <v>1518</v>
      </c>
      <c r="N651" s="67">
        <f>10*12</f>
        <v>120</v>
      </c>
      <c r="O651" s="16" t="s">
        <v>1263</v>
      </c>
      <c r="P651" s="30">
        <v>132000000</v>
      </c>
      <c r="Q651" s="33" t="s">
        <v>1680</v>
      </c>
      <c r="R651" s="38">
        <f>4*12</f>
        <v>48</v>
      </c>
      <c r="S651" s="16" t="s">
        <v>69</v>
      </c>
      <c r="T651" s="30">
        <v>96000000</v>
      </c>
      <c r="U651" s="16" t="s">
        <v>22</v>
      </c>
      <c r="V651" s="20">
        <v>0</v>
      </c>
      <c r="W651" s="16">
        <v>0</v>
      </c>
      <c r="X651" s="16">
        <v>0</v>
      </c>
      <c r="Y651" s="16">
        <v>70</v>
      </c>
      <c r="Z651" s="16">
        <v>30</v>
      </c>
      <c r="AA651" s="16">
        <v>0</v>
      </c>
      <c r="AB651" s="16">
        <v>0</v>
      </c>
      <c r="AC651" s="16"/>
      <c r="AD651" s="68"/>
      <c r="AE651" s="23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</row>
    <row r="652" spans="1:84" s="2" customFormat="1" x14ac:dyDescent="0.2">
      <c r="A652" s="17" t="s">
        <v>3921</v>
      </c>
      <c r="B652" s="17" t="s">
        <v>45</v>
      </c>
      <c r="C652" s="17">
        <v>2025</v>
      </c>
      <c r="D652" s="17" t="str">
        <f t="array" ref="D652">_xlfn.SWITCH(E652,"Bagor","35.18.14","Sukomoro",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2" s="16" t="s">
        <v>29</v>
      </c>
      <c r="F652" s="33" t="s">
        <v>1816</v>
      </c>
      <c r="G652" s="33" t="s">
        <v>1834</v>
      </c>
      <c r="H652" s="16" t="s">
        <v>31</v>
      </c>
      <c r="I652" s="16">
        <v>3</v>
      </c>
      <c r="J652" s="16">
        <v>0</v>
      </c>
      <c r="K652" s="16">
        <f t="shared" si="12"/>
        <v>3</v>
      </c>
      <c r="L652" s="38">
        <v>15000000</v>
      </c>
      <c r="M652" s="17" t="s">
        <v>1518</v>
      </c>
      <c r="N652" s="67">
        <f>7*12</f>
        <v>84</v>
      </c>
      <c r="O652" s="16" t="s">
        <v>1263</v>
      </c>
      <c r="P652" s="30">
        <v>75600000</v>
      </c>
      <c r="Q652" s="33" t="s">
        <v>1680</v>
      </c>
      <c r="R652" s="38">
        <f>4*12</f>
        <v>48</v>
      </c>
      <c r="S652" s="16" t="s">
        <v>69</v>
      </c>
      <c r="T652" s="30">
        <v>45600000</v>
      </c>
      <c r="U652" s="16" t="s">
        <v>22</v>
      </c>
      <c r="V652" s="20">
        <v>0</v>
      </c>
      <c r="W652" s="16">
        <v>0</v>
      </c>
      <c r="X652" s="16">
        <v>0</v>
      </c>
      <c r="Y652" s="16">
        <v>60</v>
      </c>
      <c r="Z652" s="16">
        <v>40</v>
      </c>
      <c r="AA652" s="16">
        <v>0</v>
      </c>
      <c r="AB652" s="16">
        <v>0</v>
      </c>
      <c r="AC652" s="16"/>
      <c r="AD652" s="68"/>
      <c r="AE652" s="23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</row>
    <row r="653" spans="1:84" s="2" customFormat="1" x14ac:dyDescent="0.2">
      <c r="A653" s="17" t="s">
        <v>3921</v>
      </c>
      <c r="B653" s="17" t="s">
        <v>45</v>
      </c>
      <c r="C653" s="17">
        <v>2025</v>
      </c>
      <c r="D653" s="17" t="str">
        <f t="array" ref="D653">_xlfn.SWITCH(E653,"Bagor","35.18.14","Sukomoro",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3" s="16" t="s">
        <v>29</v>
      </c>
      <c r="F653" s="33" t="s">
        <v>1816</v>
      </c>
      <c r="G653" s="33" t="s">
        <v>1835</v>
      </c>
      <c r="H653" s="16" t="s">
        <v>47</v>
      </c>
      <c r="I653" s="16">
        <v>4</v>
      </c>
      <c r="J653" s="16">
        <v>0</v>
      </c>
      <c r="K653" s="16">
        <f t="shared" si="12"/>
        <v>4</v>
      </c>
      <c r="L653" s="38">
        <v>50000000</v>
      </c>
      <c r="M653" s="17" t="s">
        <v>1518</v>
      </c>
      <c r="N653" s="67">
        <f>22*12</f>
        <v>264</v>
      </c>
      <c r="O653" s="16" t="s">
        <v>1263</v>
      </c>
      <c r="P653" s="30">
        <v>250800000</v>
      </c>
      <c r="Q653" s="33" t="s">
        <v>1680</v>
      </c>
      <c r="R653" s="38">
        <f>8*12</f>
        <v>96</v>
      </c>
      <c r="S653" s="16" t="s">
        <v>69</v>
      </c>
      <c r="T653" s="30">
        <v>144000000</v>
      </c>
      <c r="U653" s="16" t="s">
        <v>22</v>
      </c>
      <c r="V653" s="20">
        <v>0</v>
      </c>
      <c r="W653" s="16">
        <v>0</v>
      </c>
      <c r="X653" s="16">
        <v>0</v>
      </c>
      <c r="Y653" s="16">
        <v>90</v>
      </c>
      <c r="Z653" s="16">
        <v>10</v>
      </c>
      <c r="AA653" s="16">
        <v>0</v>
      </c>
      <c r="AB653" s="16">
        <v>0</v>
      </c>
      <c r="AC653" s="16" t="s">
        <v>1836</v>
      </c>
      <c r="AD653" s="68"/>
      <c r="AE653" s="23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</row>
    <row r="654" spans="1:84" s="2" customFormat="1" x14ac:dyDescent="0.2">
      <c r="A654" s="17" t="s">
        <v>3921</v>
      </c>
      <c r="B654" s="17" t="s">
        <v>45</v>
      </c>
      <c r="C654" s="17">
        <v>2025</v>
      </c>
      <c r="D654" s="17" t="str">
        <f t="array" ref="D654">_xlfn.SWITCH(E654,"Bagor","35.18.14","Sukomoro",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4" s="16" t="s">
        <v>29</v>
      </c>
      <c r="F654" s="33" t="s">
        <v>1816</v>
      </c>
      <c r="G654" s="33" t="s">
        <v>1837</v>
      </c>
      <c r="H654" s="16" t="s">
        <v>31</v>
      </c>
      <c r="I654" s="16">
        <v>2</v>
      </c>
      <c r="J654" s="16">
        <v>0</v>
      </c>
      <c r="K654" s="16">
        <f t="shared" si="12"/>
        <v>2</v>
      </c>
      <c r="L654" s="38">
        <v>10000000</v>
      </c>
      <c r="M654" s="17" t="s">
        <v>1518</v>
      </c>
      <c r="N654" s="67">
        <f>3*12</f>
        <v>36</v>
      </c>
      <c r="O654" s="16" t="s">
        <v>1263</v>
      </c>
      <c r="P654" s="30">
        <v>25200000</v>
      </c>
      <c r="Q654" s="33" t="s">
        <v>1680</v>
      </c>
      <c r="R654" s="38">
        <f>2.5*12</f>
        <v>30</v>
      </c>
      <c r="S654" s="16" t="s">
        <v>69</v>
      </c>
      <c r="T654" s="30">
        <v>13500000</v>
      </c>
      <c r="U654" s="16" t="s">
        <v>22</v>
      </c>
      <c r="V654" s="20">
        <v>0</v>
      </c>
      <c r="W654" s="16">
        <v>0</v>
      </c>
      <c r="X654" s="16">
        <v>0</v>
      </c>
      <c r="Y654" s="16">
        <v>100</v>
      </c>
      <c r="Z654" s="16">
        <v>0</v>
      </c>
      <c r="AA654" s="16">
        <v>0</v>
      </c>
      <c r="AB654" s="16">
        <v>0</v>
      </c>
      <c r="AC654" s="16"/>
      <c r="AD654" s="68"/>
      <c r="AE654" s="23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</row>
    <row r="655" spans="1:84" s="2" customFormat="1" x14ac:dyDescent="0.2">
      <c r="A655" s="17" t="s">
        <v>3921</v>
      </c>
      <c r="B655" s="17" t="s">
        <v>45</v>
      </c>
      <c r="C655" s="17">
        <v>2025</v>
      </c>
      <c r="D655" s="17" t="str">
        <f t="array" ref="D655">_xlfn.SWITCH(E655,"Bagor","35.18.14","Sukomoro",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5" s="16" t="s">
        <v>29</v>
      </c>
      <c r="F655" s="33" t="s">
        <v>1816</v>
      </c>
      <c r="G655" s="33" t="s">
        <v>1838</v>
      </c>
      <c r="H655" s="16" t="s">
        <v>31</v>
      </c>
      <c r="I655" s="16">
        <v>2</v>
      </c>
      <c r="J655" s="16">
        <v>0</v>
      </c>
      <c r="K655" s="16">
        <f t="shared" si="12"/>
        <v>2</v>
      </c>
      <c r="L655" s="38">
        <v>10000000</v>
      </c>
      <c r="M655" s="17" t="s">
        <v>1518</v>
      </c>
      <c r="N655" s="67">
        <f>20*12</f>
        <v>240</v>
      </c>
      <c r="O655" s="16" t="s">
        <v>1263</v>
      </c>
      <c r="P655" s="30">
        <v>168000000</v>
      </c>
      <c r="Q655" s="33" t="s">
        <v>1680</v>
      </c>
      <c r="R655" s="38">
        <f>5*12</f>
        <v>60</v>
      </c>
      <c r="S655" s="16" t="s">
        <v>69</v>
      </c>
      <c r="T655" s="30">
        <v>72000000</v>
      </c>
      <c r="U655" s="16" t="s">
        <v>22</v>
      </c>
      <c r="V655" s="20">
        <v>0</v>
      </c>
      <c r="W655" s="16">
        <v>0</v>
      </c>
      <c r="X655" s="16">
        <v>0</v>
      </c>
      <c r="Y655" s="16">
        <v>80</v>
      </c>
      <c r="Z655" s="16">
        <v>20</v>
      </c>
      <c r="AA655" s="16">
        <v>0</v>
      </c>
      <c r="AB655" s="16">
        <v>0</v>
      </c>
      <c r="AC655" s="16"/>
      <c r="AD655" s="68"/>
      <c r="AE655" s="23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</row>
    <row r="656" spans="1:84" s="2" customFormat="1" x14ac:dyDescent="0.2">
      <c r="A656" s="17" t="s">
        <v>3921</v>
      </c>
      <c r="B656" s="17" t="s">
        <v>45</v>
      </c>
      <c r="C656" s="17">
        <v>2025</v>
      </c>
      <c r="D656" s="17" t="str">
        <f t="array" ref="D656">_xlfn.SWITCH(E656,"Bagor","35.18.14","Sukomoro",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6" s="16" t="s">
        <v>29</v>
      </c>
      <c r="F656" s="33" t="s">
        <v>1816</v>
      </c>
      <c r="G656" s="33" t="s">
        <v>1839</v>
      </c>
      <c r="H656" s="16" t="s">
        <v>31</v>
      </c>
      <c r="I656" s="16">
        <v>1</v>
      </c>
      <c r="J656" s="16">
        <v>0</v>
      </c>
      <c r="K656" s="16">
        <f t="shared" si="12"/>
        <v>1</v>
      </c>
      <c r="L656" s="38">
        <v>2000000</v>
      </c>
      <c r="M656" s="17" t="s">
        <v>1518</v>
      </c>
      <c r="N656" s="67">
        <f>12*12</f>
        <v>144</v>
      </c>
      <c r="O656" s="16" t="s">
        <v>1263</v>
      </c>
      <c r="P656" s="30">
        <v>122400000</v>
      </c>
      <c r="Q656" s="33" t="s">
        <v>1680</v>
      </c>
      <c r="R656" s="38">
        <v>42</v>
      </c>
      <c r="S656" s="16" t="s">
        <v>69</v>
      </c>
      <c r="T656" s="30">
        <v>84000000</v>
      </c>
      <c r="U656" s="16" t="s">
        <v>22</v>
      </c>
      <c r="V656" s="20">
        <v>0</v>
      </c>
      <c r="W656" s="16">
        <v>0</v>
      </c>
      <c r="X656" s="16">
        <v>0</v>
      </c>
      <c r="Y656" s="16">
        <v>75</v>
      </c>
      <c r="Z656" s="16">
        <v>25</v>
      </c>
      <c r="AA656" s="16">
        <v>0</v>
      </c>
      <c r="AB656" s="16">
        <v>0</v>
      </c>
      <c r="AC656" s="16"/>
      <c r="AD656" s="68"/>
      <c r="AE656" s="23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</row>
    <row r="657" spans="1:84" s="2" customFormat="1" x14ac:dyDescent="0.2">
      <c r="A657" s="17" t="s">
        <v>3921</v>
      </c>
      <c r="B657" s="17" t="s">
        <v>45</v>
      </c>
      <c r="C657" s="17">
        <v>2025</v>
      </c>
      <c r="D657" s="17" t="str">
        <f t="array" ref="D657">_xlfn.SWITCH(E657,"Bagor","35.18.14","Sukomoro",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7" s="16" t="s">
        <v>29</v>
      </c>
      <c r="F657" s="33" t="s">
        <v>1816</v>
      </c>
      <c r="G657" s="33" t="s">
        <v>1840</v>
      </c>
      <c r="H657" s="16" t="s">
        <v>31</v>
      </c>
      <c r="I657" s="16">
        <v>6</v>
      </c>
      <c r="J657" s="16">
        <v>0</v>
      </c>
      <c r="K657" s="16">
        <f t="shared" si="12"/>
        <v>6</v>
      </c>
      <c r="L657" s="38">
        <v>50000000</v>
      </c>
      <c r="M657" s="17" t="s">
        <v>1518</v>
      </c>
      <c r="N657" s="67">
        <f>15*12</f>
        <v>180</v>
      </c>
      <c r="O657" s="16" t="s">
        <v>1263</v>
      </c>
      <c r="P657" s="30">
        <v>135000000</v>
      </c>
      <c r="Q657" s="33" t="s">
        <v>1680</v>
      </c>
      <c r="R657" s="38">
        <f>6*12</f>
        <v>72</v>
      </c>
      <c r="S657" s="16" t="s">
        <v>69</v>
      </c>
      <c r="T657" s="30">
        <v>68400000</v>
      </c>
      <c r="U657" s="16" t="s">
        <v>22</v>
      </c>
      <c r="V657" s="20">
        <v>0</v>
      </c>
      <c r="W657" s="16">
        <v>0</v>
      </c>
      <c r="X657" s="16">
        <v>0</v>
      </c>
      <c r="Y657" s="16">
        <v>30</v>
      </c>
      <c r="Z657" s="16">
        <v>30</v>
      </c>
      <c r="AA657" s="16">
        <v>40</v>
      </c>
      <c r="AB657" s="16">
        <v>0</v>
      </c>
      <c r="AC657" s="16"/>
      <c r="AD657" s="68"/>
      <c r="AE657" s="23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</row>
    <row r="658" spans="1:84" s="2" customFormat="1" x14ac:dyDescent="0.2">
      <c r="A658" s="17" t="s">
        <v>3921</v>
      </c>
      <c r="B658" s="17" t="s">
        <v>45</v>
      </c>
      <c r="C658" s="17">
        <v>2025</v>
      </c>
      <c r="D658" s="17" t="str">
        <f t="array" ref="D658">_xlfn.SWITCH(E658,"Bagor","35.18.14","Sukomoro",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8" s="16" t="s">
        <v>29</v>
      </c>
      <c r="F658" s="33" t="s">
        <v>1816</v>
      </c>
      <c r="G658" s="33" t="s">
        <v>1841</v>
      </c>
      <c r="H658" s="16" t="s">
        <v>31</v>
      </c>
      <c r="I658" s="16">
        <v>1</v>
      </c>
      <c r="J658" s="16">
        <v>0</v>
      </c>
      <c r="K658" s="16">
        <f t="shared" si="12"/>
        <v>1</v>
      </c>
      <c r="L658" s="38">
        <v>2000000</v>
      </c>
      <c r="M658" s="17" t="s">
        <v>1518</v>
      </c>
      <c r="N658" s="67">
        <f>13*12</f>
        <v>156</v>
      </c>
      <c r="O658" s="16" t="s">
        <v>1263</v>
      </c>
      <c r="P658" s="30">
        <v>70200000</v>
      </c>
      <c r="Q658" s="33" t="s">
        <v>1680</v>
      </c>
      <c r="R658" s="38">
        <f>1.5*12</f>
        <v>18</v>
      </c>
      <c r="S658" s="16" t="s">
        <v>69</v>
      </c>
      <c r="T658" s="30">
        <v>30600000</v>
      </c>
      <c r="U658" s="16" t="s">
        <v>22</v>
      </c>
      <c r="V658" s="20">
        <v>0</v>
      </c>
      <c r="W658" s="16">
        <v>0</v>
      </c>
      <c r="X658" s="16">
        <v>0</v>
      </c>
      <c r="Y658" s="16">
        <v>80</v>
      </c>
      <c r="Z658" s="16">
        <v>20</v>
      </c>
      <c r="AA658" s="16">
        <v>0</v>
      </c>
      <c r="AB658" s="16">
        <v>0</v>
      </c>
      <c r="AC658" s="16"/>
      <c r="AD658" s="68"/>
      <c r="AE658" s="23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</row>
    <row r="659" spans="1:84" s="2" customFormat="1" x14ac:dyDescent="0.2">
      <c r="A659" s="17" t="s">
        <v>3921</v>
      </c>
      <c r="B659" s="17" t="s">
        <v>45</v>
      </c>
      <c r="C659" s="17">
        <v>2025</v>
      </c>
      <c r="D659" s="17" t="str">
        <f t="array" ref="D659">_xlfn.SWITCH(E659,"Bagor","35.18.14","Sukomoro",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9" s="16" t="s">
        <v>29</v>
      </c>
      <c r="F659" s="33" t="s">
        <v>1816</v>
      </c>
      <c r="G659" s="33" t="s">
        <v>1842</v>
      </c>
      <c r="H659" s="16" t="s">
        <v>47</v>
      </c>
      <c r="I659" s="16">
        <v>3</v>
      </c>
      <c r="J659" s="16">
        <v>0</v>
      </c>
      <c r="K659" s="16">
        <f t="shared" si="12"/>
        <v>3</v>
      </c>
      <c r="L659" s="38">
        <v>100000000</v>
      </c>
      <c r="M659" s="17" t="s">
        <v>1518</v>
      </c>
      <c r="N659" s="67">
        <f>9*12</f>
        <v>108</v>
      </c>
      <c r="O659" s="16" t="s">
        <v>1263</v>
      </c>
      <c r="P659" s="30">
        <v>270000000</v>
      </c>
      <c r="Q659" s="33" t="s">
        <v>1680</v>
      </c>
      <c r="R659" s="38">
        <f>2*12</f>
        <v>24</v>
      </c>
      <c r="S659" s="16" t="s">
        <v>69</v>
      </c>
      <c r="T659" s="30">
        <v>84000000</v>
      </c>
      <c r="U659" s="16" t="s">
        <v>22</v>
      </c>
      <c r="V659" s="20">
        <v>0</v>
      </c>
      <c r="W659" s="16">
        <v>0</v>
      </c>
      <c r="X659" s="16">
        <v>0</v>
      </c>
      <c r="Y659" s="16">
        <v>75</v>
      </c>
      <c r="Z659" s="16">
        <v>25</v>
      </c>
      <c r="AA659" s="16">
        <v>0</v>
      </c>
      <c r="AB659" s="16">
        <v>0</v>
      </c>
      <c r="AC659" s="16" t="s">
        <v>1843</v>
      </c>
      <c r="AD659" s="68"/>
      <c r="AE659" s="23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</row>
    <row r="660" spans="1:84" s="2" customFormat="1" x14ac:dyDescent="0.2">
      <c r="A660" s="17" t="s">
        <v>3921</v>
      </c>
      <c r="B660" s="17" t="s">
        <v>45</v>
      </c>
      <c r="C660" s="17">
        <v>2025</v>
      </c>
      <c r="D660" s="17" t="str">
        <f t="array" ref="D660">_xlfn.SWITCH(E660,"Bagor","35.18.14","Sukomoro",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0" s="16" t="s">
        <v>29</v>
      </c>
      <c r="F660" s="33" t="s">
        <v>1816</v>
      </c>
      <c r="G660" s="33" t="s">
        <v>1844</v>
      </c>
      <c r="H660" s="16" t="s">
        <v>47</v>
      </c>
      <c r="I660" s="16">
        <v>5</v>
      </c>
      <c r="J660" s="16">
        <v>0</v>
      </c>
      <c r="K660" s="16">
        <f t="shared" si="12"/>
        <v>5</v>
      </c>
      <c r="L660" s="38">
        <v>150000000</v>
      </c>
      <c r="M660" s="17" t="s">
        <v>1518</v>
      </c>
      <c r="N660" s="67">
        <f>14*12</f>
        <v>168</v>
      </c>
      <c r="O660" s="16" t="s">
        <v>1263</v>
      </c>
      <c r="P660" s="30">
        <v>235200000</v>
      </c>
      <c r="Q660" s="33" t="s">
        <v>1680</v>
      </c>
      <c r="R660" s="38">
        <f>15*12</f>
        <v>180</v>
      </c>
      <c r="S660" s="16" t="s">
        <v>69</v>
      </c>
      <c r="T660" s="30">
        <v>144000000</v>
      </c>
      <c r="U660" s="16" t="s">
        <v>22</v>
      </c>
      <c r="V660" s="20">
        <v>0</v>
      </c>
      <c r="W660" s="16">
        <v>0</v>
      </c>
      <c r="X660" s="16">
        <v>0</v>
      </c>
      <c r="Y660" s="16">
        <v>80</v>
      </c>
      <c r="Z660" s="16">
        <v>20</v>
      </c>
      <c r="AA660" s="16">
        <v>0</v>
      </c>
      <c r="AB660" s="16">
        <v>0</v>
      </c>
      <c r="AC660" s="16" t="s">
        <v>1845</v>
      </c>
      <c r="AD660" s="68"/>
      <c r="AE660" s="23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</row>
    <row r="661" spans="1:84" s="2" customFormat="1" x14ac:dyDescent="0.2">
      <c r="A661" s="17" t="s">
        <v>3921</v>
      </c>
      <c r="B661" s="17" t="s">
        <v>45</v>
      </c>
      <c r="C661" s="17">
        <v>2025</v>
      </c>
      <c r="D661" s="17" t="str">
        <f t="array" ref="D661">_xlfn.SWITCH(E661,"Bagor","35.18.14","Sukomoro",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1" s="16" t="s">
        <v>29</v>
      </c>
      <c r="F661" s="33" t="s">
        <v>1816</v>
      </c>
      <c r="G661" s="33" t="s">
        <v>1846</v>
      </c>
      <c r="H661" s="16" t="s">
        <v>31</v>
      </c>
      <c r="I661" s="16">
        <v>3</v>
      </c>
      <c r="J661" s="16">
        <v>0</v>
      </c>
      <c r="K661" s="16">
        <f t="shared" si="12"/>
        <v>3</v>
      </c>
      <c r="L661" s="38">
        <v>20000000</v>
      </c>
      <c r="M661" s="17" t="s">
        <v>1518</v>
      </c>
      <c r="N661" s="67">
        <f>4*12</f>
        <v>48</v>
      </c>
      <c r="O661" s="16" t="s">
        <v>1263</v>
      </c>
      <c r="P661" s="30">
        <v>42240000</v>
      </c>
      <c r="Q661" s="33" t="s">
        <v>1680</v>
      </c>
      <c r="R661" s="38">
        <f>3*12</f>
        <v>36</v>
      </c>
      <c r="S661" s="16" t="s">
        <v>69</v>
      </c>
      <c r="T661" s="30">
        <v>25200000</v>
      </c>
      <c r="U661" s="16" t="s">
        <v>22</v>
      </c>
      <c r="V661" s="20">
        <v>0</v>
      </c>
      <c r="W661" s="16">
        <v>0</v>
      </c>
      <c r="X661" s="16">
        <v>0</v>
      </c>
      <c r="Y661" s="16">
        <v>80</v>
      </c>
      <c r="Z661" s="16">
        <v>20</v>
      </c>
      <c r="AA661" s="16">
        <v>0</v>
      </c>
      <c r="AB661" s="16">
        <v>0</v>
      </c>
      <c r="AC661" s="16"/>
      <c r="AD661" s="68"/>
      <c r="AE661" s="23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</row>
    <row r="662" spans="1:84" s="2" customFormat="1" x14ac:dyDescent="0.2">
      <c r="A662" s="17" t="s">
        <v>3921</v>
      </c>
      <c r="B662" s="17" t="s">
        <v>45</v>
      </c>
      <c r="C662" s="17">
        <v>2025</v>
      </c>
      <c r="D662" s="17" t="str">
        <f t="array" ref="D662">_xlfn.SWITCH(E662,"Bagor","35.18.14","Sukomoro",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2" s="16" t="s">
        <v>29</v>
      </c>
      <c r="F662" s="33" t="s">
        <v>1816</v>
      </c>
      <c r="G662" s="33" t="s">
        <v>1847</v>
      </c>
      <c r="H662" s="16" t="s">
        <v>31</v>
      </c>
      <c r="I662" s="16">
        <v>1</v>
      </c>
      <c r="J662" s="16">
        <v>0</v>
      </c>
      <c r="K662" s="16">
        <f t="shared" si="12"/>
        <v>1</v>
      </c>
      <c r="L662" s="38">
        <v>3000000</v>
      </c>
      <c r="M662" s="17" t="s">
        <v>1518</v>
      </c>
      <c r="N662" s="67">
        <f>14*12</f>
        <v>168</v>
      </c>
      <c r="O662" s="16" t="s">
        <v>1263</v>
      </c>
      <c r="P662" s="30">
        <v>75600000</v>
      </c>
      <c r="Q662" s="33" t="s">
        <v>1680</v>
      </c>
      <c r="R662" s="38">
        <f>1.5*12</f>
        <v>18</v>
      </c>
      <c r="S662" s="16" t="s">
        <v>69</v>
      </c>
      <c r="T662" s="30">
        <v>45000000</v>
      </c>
      <c r="U662" s="16" t="s">
        <v>22</v>
      </c>
      <c r="V662" s="20">
        <v>0</v>
      </c>
      <c r="W662" s="16">
        <v>0</v>
      </c>
      <c r="X662" s="16">
        <v>0</v>
      </c>
      <c r="Y662" s="16">
        <v>80</v>
      </c>
      <c r="Z662" s="16">
        <v>20</v>
      </c>
      <c r="AA662" s="16">
        <v>0</v>
      </c>
      <c r="AB662" s="16">
        <v>0</v>
      </c>
      <c r="AC662" s="16"/>
      <c r="AD662" s="68"/>
      <c r="AE662" s="23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</row>
    <row r="663" spans="1:84" s="2" customFormat="1" x14ac:dyDescent="0.2">
      <c r="A663" s="17" t="s">
        <v>3921</v>
      </c>
      <c r="B663" s="17" t="s">
        <v>45</v>
      </c>
      <c r="C663" s="17">
        <v>2025</v>
      </c>
      <c r="D663" s="17" t="str">
        <f t="array" ref="D663">_xlfn.SWITCH(E663,"Bagor","35.18.14","Sukomoro",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3" s="16" t="s">
        <v>29</v>
      </c>
      <c r="F663" s="33" t="s">
        <v>1816</v>
      </c>
      <c r="G663" s="33" t="s">
        <v>1848</v>
      </c>
      <c r="H663" s="16" t="s">
        <v>31</v>
      </c>
      <c r="I663" s="16">
        <v>1</v>
      </c>
      <c r="J663" s="16">
        <v>0</v>
      </c>
      <c r="K663" s="16">
        <f t="shared" si="12"/>
        <v>1</v>
      </c>
      <c r="L663" s="38">
        <v>10000000</v>
      </c>
      <c r="M663" s="17" t="s">
        <v>1518</v>
      </c>
      <c r="N663" s="67">
        <f>10*12</f>
        <v>120</v>
      </c>
      <c r="O663" s="16" t="s">
        <v>1263</v>
      </c>
      <c r="P663" s="30">
        <v>180000000</v>
      </c>
      <c r="Q663" s="33" t="s">
        <v>1680</v>
      </c>
      <c r="R663" s="38">
        <v>12</v>
      </c>
      <c r="S663" s="16" t="s">
        <v>69</v>
      </c>
      <c r="T663" s="30">
        <v>36000000</v>
      </c>
      <c r="U663" s="16" t="s">
        <v>22</v>
      </c>
      <c r="V663" s="20">
        <v>0</v>
      </c>
      <c r="W663" s="16">
        <v>0</v>
      </c>
      <c r="X663" s="16">
        <v>0</v>
      </c>
      <c r="Y663" s="16">
        <v>80</v>
      </c>
      <c r="Z663" s="16">
        <v>20</v>
      </c>
      <c r="AA663" s="16">
        <v>0</v>
      </c>
      <c r="AB663" s="16">
        <v>0</v>
      </c>
      <c r="AC663" s="16"/>
      <c r="AD663" s="68"/>
      <c r="AE663" s="23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</row>
    <row r="664" spans="1:84" s="2" customFormat="1" x14ac:dyDescent="0.2">
      <c r="A664" s="17" t="s">
        <v>3921</v>
      </c>
      <c r="B664" s="17" t="s">
        <v>45</v>
      </c>
      <c r="C664" s="17">
        <v>2025</v>
      </c>
      <c r="D664" s="17" t="str">
        <f t="array" ref="D664">_xlfn.SWITCH(E664,"Bagor","35.18.14","Sukomoro",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4" s="16" t="s">
        <v>29</v>
      </c>
      <c r="F664" s="33" t="s">
        <v>1816</v>
      </c>
      <c r="G664" s="33" t="s">
        <v>1849</v>
      </c>
      <c r="H664" s="16" t="s">
        <v>47</v>
      </c>
      <c r="I664" s="16">
        <v>13</v>
      </c>
      <c r="J664" s="16">
        <v>0</v>
      </c>
      <c r="K664" s="16">
        <f t="shared" si="12"/>
        <v>13</v>
      </c>
      <c r="L664" s="38">
        <v>100000000</v>
      </c>
      <c r="M664" s="17" t="s">
        <v>1518</v>
      </c>
      <c r="N664" s="67">
        <f>11*12</f>
        <v>132</v>
      </c>
      <c r="O664" s="16" t="s">
        <v>1263</v>
      </c>
      <c r="P664" s="30">
        <v>132000000</v>
      </c>
      <c r="Q664" s="33" t="s">
        <v>1680</v>
      </c>
      <c r="R664" s="38">
        <f>8*12</f>
        <v>96</v>
      </c>
      <c r="S664" s="16" t="s">
        <v>69</v>
      </c>
      <c r="T664" s="30">
        <v>105600000</v>
      </c>
      <c r="U664" s="16" t="s">
        <v>22</v>
      </c>
      <c r="V664" s="20">
        <v>0</v>
      </c>
      <c r="W664" s="16">
        <v>0</v>
      </c>
      <c r="X664" s="16">
        <v>0</v>
      </c>
      <c r="Y664" s="16">
        <v>75</v>
      </c>
      <c r="Z664" s="16">
        <v>25</v>
      </c>
      <c r="AA664" s="16">
        <v>0</v>
      </c>
      <c r="AB664" s="16">
        <v>0</v>
      </c>
      <c r="AC664" s="16" t="s">
        <v>1850</v>
      </c>
      <c r="AD664" s="68"/>
      <c r="AE664" s="23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</row>
    <row r="665" spans="1:84" s="2" customFormat="1" x14ac:dyDescent="0.2">
      <c r="A665" s="17" t="s">
        <v>3921</v>
      </c>
      <c r="B665" s="17" t="s">
        <v>45</v>
      </c>
      <c r="C665" s="17">
        <v>2025</v>
      </c>
      <c r="D665" s="17" t="str">
        <f t="array" ref="D665">_xlfn.SWITCH(E665,"Bagor","35.18.14","Sukomoro",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5" s="16" t="s">
        <v>29</v>
      </c>
      <c r="F665" s="33" t="s">
        <v>1816</v>
      </c>
      <c r="G665" s="33" t="s">
        <v>1311</v>
      </c>
      <c r="H665" s="16" t="s">
        <v>47</v>
      </c>
      <c r="I665" s="16">
        <v>6</v>
      </c>
      <c r="J665" s="16">
        <v>0</v>
      </c>
      <c r="K665" s="16">
        <f t="shared" si="12"/>
        <v>6</v>
      </c>
      <c r="L665" s="38">
        <v>150000000</v>
      </c>
      <c r="M665" s="17" t="s">
        <v>1518</v>
      </c>
      <c r="N665" s="67">
        <f>10*12</f>
        <v>120</v>
      </c>
      <c r="O665" s="16" t="s">
        <v>1263</v>
      </c>
      <c r="P665" s="30">
        <v>216000000</v>
      </c>
      <c r="Q665" s="33" t="s">
        <v>1680</v>
      </c>
      <c r="R665" s="38">
        <f>15*12</f>
        <v>180</v>
      </c>
      <c r="S665" s="16" t="s">
        <v>69</v>
      </c>
      <c r="T665" s="30">
        <v>180000000</v>
      </c>
      <c r="U665" s="16" t="s">
        <v>22</v>
      </c>
      <c r="V665" s="20">
        <v>0</v>
      </c>
      <c r="W665" s="16">
        <v>0</v>
      </c>
      <c r="X665" s="16">
        <v>0</v>
      </c>
      <c r="Y665" s="16">
        <v>80</v>
      </c>
      <c r="Z665" s="16">
        <v>20</v>
      </c>
      <c r="AA665" s="16">
        <v>0</v>
      </c>
      <c r="AB665" s="16">
        <v>0</v>
      </c>
      <c r="AC665" s="16" t="s">
        <v>1851</v>
      </c>
      <c r="AD665" s="68"/>
      <c r="AE665" s="23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</row>
    <row r="666" spans="1:84" s="2" customFormat="1" x14ac:dyDescent="0.2">
      <c r="A666" s="17" t="s">
        <v>3921</v>
      </c>
      <c r="B666" s="17" t="s">
        <v>45</v>
      </c>
      <c r="C666" s="17">
        <v>2025</v>
      </c>
      <c r="D666" s="17" t="str">
        <f t="array" ref="D666">_xlfn.SWITCH(E666,"Bagor","35.18.14","Sukomoro",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6" s="16" t="s">
        <v>29</v>
      </c>
      <c r="F666" s="33" t="s">
        <v>1816</v>
      </c>
      <c r="G666" s="33" t="s">
        <v>1852</v>
      </c>
      <c r="H666" s="16" t="s">
        <v>47</v>
      </c>
      <c r="I666" s="16">
        <v>8</v>
      </c>
      <c r="J666" s="16">
        <v>2</v>
      </c>
      <c r="K666" s="16">
        <f t="shared" si="12"/>
        <v>10</v>
      </c>
      <c r="L666" s="38">
        <v>100000000</v>
      </c>
      <c r="M666" s="17" t="s">
        <v>1518</v>
      </c>
      <c r="N666" s="67">
        <f>3*12</f>
        <v>36</v>
      </c>
      <c r="O666" s="16" t="s">
        <v>1263</v>
      </c>
      <c r="P666" s="30">
        <v>126000000</v>
      </c>
      <c r="Q666" s="33" t="s">
        <v>1680</v>
      </c>
      <c r="R666" s="38">
        <f>1.5*12</f>
        <v>18</v>
      </c>
      <c r="S666" s="16" t="s">
        <v>69</v>
      </c>
      <c r="T666" s="30">
        <v>81000000</v>
      </c>
      <c r="U666" s="16" t="s">
        <v>22</v>
      </c>
      <c r="V666" s="20">
        <v>0</v>
      </c>
      <c r="W666" s="16">
        <v>0</v>
      </c>
      <c r="X666" s="16">
        <v>0</v>
      </c>
      <c r="Y666" s="16">
        <v>90</v>
      </c>
      <c r="Z666" s="16">
        <v>10</v>
      </c>
      <c r="AA666" s="16">
        <v>0</v>
      </c>
      <c r="AB666" s="16">
        <v>0</v>
      </c>
      <c r="AC666" s="16" t="s">
        <v>1853</v>
      </c>
      <c r="AD666" s="68"/>
      <c r="AE666" s="23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</row>
    <row r="667" spans="1:84" s="2" customFormat="1" x14ac:dyDescent="0.2">
      <c r="A667" s="17" t="s">
        <v>3921</v>
      </c>
      <c r="B667" s="17" t="s">
        <v>45</v>
      </c>
      <c r="C667" s="17">
        <v>2025</v>
      </c>
      <c r="D667" s="17" t="str">
        <f t="array" ref="D667">_xlfn.SWITCH(E667,"Bagor","35.18.14","Sukomoro",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7" s="16" t="s">
        <v>29</v>
      </c>
      <c r="F667" s="33" t="s">
        <v>1816</v>
      </c>
      <c r="G667" s="33" t="s">
        <v>1854</v>
      </c>
      <c r="H667" s="16" t="s">
        <v>31</v>
      </c>
      <c r="I667" s="16">
        <v>1</v>
      </c>
      <c r="J667" s="16">
        <v>0</v>
      </c>
      <c r="K667" s="16">
        <f t="shared" si="12"/>
        <v>1</v>
      </c>
      <c r="L667" s="38">
        <v>6000000</v>
      </c>
      <c r="M667" s="17" t="s">
        <v>1518</v>
      </c>
      <c r="N667" s="67">
        <v>24</v>
      </c>
      <c r="O667" s="16" t="s">
        <v>1263</v>
      </c>
      <c r="P667" s="30">
        <v>36000000</v>
      </c>
      <c r="Q667" s="33" t="s">
        <v>1680</v>
      </c>
      <c r="R667" s="38">
        <v>12</v>
      </c>
      <c r="S667" s="16" t="s">
        <v>69</v>
      </c>
      <c r="T667" s="30">
        <v>12000000</v>
      </c>
      <c r="U667" s="16" t="s">
        <v>22</v>
      </c>
      <c r="V667" s="20">
        <v>0</v>
      </c>
      <c r="W667" s="16">
        <v>0</v>
      </c>
      <c r="X667" s="16">
        <v>0</v>
      </c>
      <c r="Y667" s="16">
        <v>90</v>
      </c>
      <c r="Z667" s="16">
        <v>10</v>
      </c>
      <c r="AA667" s="16">
        <v>0</v>
      </c>
      <c r="AB667" s="16">
        <v>0</v>
      </c>
      <c r="AC667" s="16"/>
      <c r="AD667" s="68"/>
      <c r="AE667" s="23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</row>
    <row r="668" spans="1:84" s="2" customFormat="1" x14ac:dyDescent="0.2">
      <c r="A668" s="17" t="s">
        <v>3921</v>
      </c>
      <c r="B668" s="17" t="s">
        <v>45</v>
      </c>
      <c r="C668" s="17">
        <v>2025</v>
      </c>
      <c r="D668" s="17" t="str">
        <f t="array" ref="D668">_xlfn.SWITCH(E668,"Bagor","35.18.14","Sukomoro",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8" s="16" t="s">
        <v>29</v>
      </c>
      <c r="F668" s="33" t="s">
        <v>1816</v>
      </c>
      <c r="G668" s="33" t="s">
        <v>1855</v>
      </c>
      <c r="H668" s="16" t="s">
        <v>47</v>
      </c>
      <c r="I668" s="16">
        <v>3</v>
      </c>
      <c r="J668" s="16">
        <v>0</v>
      </c>
      <c r="K668" s="16">
        <f t="shared" si="12"/>
        <v>3</v>
      </c>
      <c r="L668" s="38">
        <v>50000000</v>
      </c>
      <c r="M668" s="17" t="s">
        <v>1518</v>
      </c>
      <c r="N668" s="67">
        <f>3*12</f>
        <v>36</v>
      </c>
      <c r="O668" s="16" t="s">
        <v>1263</v>
      </c>
      <c r="P668" s="30">
        <v>108000000</v>
      </c>
      <c r="Q668" s="33" t="s">
        <v>1680</v>
      </c>
      <c r="R668" s="38">
        <f>5*12</f>
        <v>60</v>
      </c>
      <c r="S668" s="16" t="s">
        <v>69</v>
      </c>
      <c r="T668" s="30">
        <v>60000000</v>
      </c>
      <c r="U668" s="16" t="s">
        <v>22</v>
      </c>
      <c r="V668" s="20">
        <v>0</v>
      </c>
      <c r="W668" s="16">
        <v>0</v>
      </c>
      <c r="X668" s="16">
        <v>0</v>
      </c>
      <c r="Y668" s="16">
        <v>80</v>
      </c>
      <c r="Z668" s="16">
        <v>20</v>
      </c>
      <c r="AA668" s="16">
        <v>0</v>
      </c>
      <c r="AB668" s="16">
        <v>0</v>
      </c>
      <c r="AC668" s="16" t="s">
        <v>1856</v>
      </c>
      <c r="AD668" s="68"/>
      <c r="AE668" s="23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</row>
    <row r="669" spans="1:84" s="2" customFormat="1" x14ac:dyDescent="0.2">
      <c r="A669" s="17" t="s">
        <v>3921</v>
      </c>
      <c r="B669" s="17" t="s">
        <v>45</v>
      </c>
      <c r="C669" s="17">
        <v>2025</v>
      </c>
      <c r="D669" s="17" t="str">
        <f t="array" ref="D669">_xlfn.SWITCH(E669,"Bagor","35.18.14","Sukomoro",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9" s="16" t="s">
        <v>29</v>
      </c>
      <c r="F669" s="33" t="s">
        <v>1816</v>
      </c>
      <c r="G669" s="33" t="s">
        <v>1857</v>
      </c>
      <c r="H669" s="16" t="s">
        <v>47</v>
      </c>
      <c r="I669" s="16">
        <v>8</v>
      </c>
      <c r="J669" s="16">
        <v>0</v>
      </c>
      <c r="K669" s="16">
        <f t="shared" si="12"/>
        <v>8</v>
      </c>
      <c r="L669" s="38">
        <v>40000000</v>
      </c>
      <c r="M669" s="17" t="s">
        <v>1518</v>
      </c>
      <c r="N669" s="67">
        <f>25*12</f>
        <v>300</v>
      </c>
      <c r="O669" s="16" t="s">
        <v>1263</v>
      </c>
      <c r="P669" s="30">
        <v>285000000</v>
      </c>
      <c r="Q669" s="33" t="s">
        <v>1680</v>
      </c>
      <c r="R669" s="38">
        <f>8*12</f>
        <v>96</v>
      </c>
      <c r="S669" s="16" t="s">
        <v>69</v>
      </c>
      <c r="T669" s="30">
        <v>144000000</v>
      </c>
      <c r="U669" s="16" t="s">
        <v>22</v>
      </c>
      <c r="V669" s="20">
        <v>0</v>
      </c>
      <c r="W669" s="16">
        <v>0</v>
      </c>
      <c r="X669" s="16">
        <v>0</v>
      </c>
      <c r="Y669" s="16">
        <v>90</v>
      </c>
      <c r="Z669" s="16">
        <v>10</v>
      </c>
      <c r="AA669" s="16">
        <v>0</v>
      </c>
      <c r="AB669" s="16">
        <v>0</v>
      </c>
      <c r="AC669" s="16" t="s">
        <v>1858</v>
      </c>
      <c r="AD669" s="68"/>
      <c r="AE669" s="23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</row>
    <row r="670" spans="1:84" s="2" customFormat="1" x14ac:dyDescent="0.2">
      <c r="A670" s="17" t="s">
        <v>3921</v>
      </c>
      <c r="B670" s="17" t="s">
        <v>45</v>
      </c>
      <c r="C670" s="17">
        <v>2025</v>
      </c>
      <c r="D670" s="17" t="str">
        <f t="array" ref="D670">_xlfn.SWITCH(E670,"Bagor","35.18.14","Sukomoro",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0" s="16" t="s">
        <v>29</v>
      </c>
      <c r="F670" s="33" t="s">
        <v>1816</v>
      </c>
      <c r="G670" s="33" t="s">
        <v>1859</v>
      </c>
      <c r="H670" s="16" t="s">
        <v>31</v>
      </c>
      <c r="I670" s="16">
        <v>2</v>
      </c>
      <c r="J670" s="16">
        <v>0</v>
      </c>
      <c r="K670" s="16">
        <f t="shared" si="12"/>
        <v>2</v>
      </c>
      <c r="L670" s="38">
        <v>50000000</v>
      </c>
      <c r="M670" s="17" t="s">
        <v>1518</v>
      </c>
      <c r="N670" s="67">
        <f>36*12</f>
        <v>432</v>
      </c>
      <c r="O670" s="16" t="s">
        <v>1263</v>
      </c>
      <c r="P670" s="30">
        <v>324000000</v>
      </c>
      <c r="Q670" s="33" t="s">
        <v>1680</v>
      </c>
      <c r="R670" s="38">
        <f>4*12</f>
        <v>48</v>
      </c>
      <c r="S670" s="16" t="s">
        <v>69</v>
      </c>
      <c r="T670" s="30">
        <v>168000000</v>
      </c>
      <c r="U670" s="16" t="s">
        <v>22</v>
      </c>
      <c r="V670" s="20">
        <v>0</v>
      </c>
      <c r="W670" s="16">
        <v>0</v>
      </c>
      <c r="X670" s="16">
        <v>0</v>
      </c>
      <c r="Y670" s="16">
        <v>70</v>
      </c>
      <c r="Z670" s="16">
        <v>30</v>
      </c>
      <c r="AA670" s="16">
        <v>0</v>
      </c>
      <c r="AB670" s="16">
        <v>0</v>
      </c>
      <c r="AC670" s="16"/>
      <c r="AD670" s="68"/>
      <c r="AE670" s="23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</row>
    <row r="671" spans="1:84" s="2" customFormat="1" x14ac:dyDescent="0.2">
      <c r="A671" s="17" t="s">
        <v>3921</v>
      </c>
      <c r="B671" s="17" t="s">
        <v>45</v>
      </c>
      <c r="C671" s="17">
        <v>2025</v>
      </c>
      <c r="D671" s="17" t="str">
        <f t="array" ref="D671">_xlfn.SWITCH(E671,"Bagor","35.18.14","Sukomoro",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1" s="16" t="s">
        <v>29</v>
      </c>
      <c r="F671" s="33" t="s">
        <v>1816</v>
      </c>
      <c r="G671" s="33" t="s">
        <v>1860</v>
      </c>
      <c r="H671" s="16" t="s">
        <v>31</v>
      </c>
      <c r="I671" s="16">
        <v>1</v>
      </c>
      <c r="J671" s="16">
        <v>0</v>
      </c>
      <c r="K671" s="16">
        <f t="shared" si="12"/>
        <v>1</v>
      </c>
      <c r="L671" s="38">
        <v>30000000</v>
      </c>
      <c r="M671" s="17" t="s">
        <v>1518</v>
      </c>
      <c r="N671" s="67">
        <f>10*12</f>
        <v>120</v>
      </c>
      <c r="O671" s="16" t="s">
        <v>1263</v>
      </c>
      <c r="P671" s="30">
        <v>180000000</v>
      </c>
      <c r="Q671" s="33" t="s">
        <v>1680</v>
      </c>
      <c r="R671" s="38">
        <v>180</v>
      </c>
      <c r="S671" s="16" t="s">
        <v>69</v>
      </c>
      <c r="T671" s="30">
        <v>36000000</v>
      </c>
      <c r="U671" s="16" t="s">
        <v>22</v>
      </c>
      <c r="V671" s="20">
        <v>0</v>
      </c>
      <c r="W671" s="16">
        <v>0</v>
      </c>
      <c r="X671" s="16">
        <v>0</v>
      </c>
      <c r="Y671" s="16">
        <v>60</v>
      </c>
      <c r="Z671" s="16">
        <v>40</v>
      </c>
      <c r="AA671" s="16">
        <v>0</v>
      </c>
      <c r="AB671" s="16">
        <v>0</v>
      </c>
      <c r="AC671" s="16"/>
      <c r="AD671" s="68"/>
      <c r="AE671" s="23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</row>
    <row r="672" spans="1:84" s="2" customFormat="1" x14ac:dyDescent="0.2">
      <c r="A672" s="17" t="s">
        <v>3921</v>
      </c>
      <c r="B672" s="17" t="s">
        <v>45</v>
      </c>
      <c r="C672" s="17">
        <v>2025</v>
      </c>
      <c r="D672" s="17" t="str">
        <f t="array" ref="D672">_xlfn.SWITCH(E672,"Bagor","35.18.14","Sukomoro",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2" s="16" t="s">
        <v>29</v>
      </c>
      <c r="F672" s="33" t="s">
        <v>1816</v>
      </c>
      <c r="G672" s="33" t="s">
        <v>1861</v>
      </c>
      <c r="H672" s="16" t="s">
        <v>31</v>
      </c>
      <c r="I672" s="16">
        <v>2</v>
      </c>
      <c r="J672" s="16">
        <v>0</v>
      </c>
      <c r="K672" s="16">
        <f t="shared" si="12"/>
        <v>2</v>
      </c>
      <c r="L672" s="38">
        <v>150000000</v>
      </c>
      <c r="M672" s="17" t="s">
        <v>1518</v>
      </c>
      <c r="N672" s="67">
        <f>12*12</f>
        <v>144</v>
      </c>
      <c r="O672" s="16" t="s">
        <v>1263</v>
      </c>
      <c r="P672" s="30">
        <v>216000000</v>
      </c>
      <c r="Q672" s="33" t="s">
        <v>1680</v>
      </c>
      <c r="R672" s="38">
        <f>3*12</f>
        <v>36</v>
      </c>
      <c r="S672" s="16" t="s">
        <v>69</v>
      </c>
      <c r="T672" s="30">
        <v>108000000</v>
      </c>
      <c r="U672" s="16" t="s">
        <v>22</v>
      </c>
      <c r="V672" s="20">
        <v>0</v>
      </c>
      <c r="W672" s="16">
        <v>0</v>
      </c>
      <c r="X672" s="16">
        <v>0</v>
      </c>
      <c r="Y672" s="16">
        <v>65</v>
      </c>
      <c r="Z672" s="16">
        <v>35</v>
      </c>
      <c r="AA672" s="16">
        <v>0</v>
      </c>
      <c r="AB672" s="16">
        <v>0</v>
      </c>
      <c r="AC672" s="16"/>
      <c r="AD672" s="68"/>
      <c r="AE672" s="23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</row>
    <row r="673" spans="1:84" s="2" customFormat="1" x14ac:dyDescent="0.2">
      <c r="A673" s="17" t="s">
        <v>3921</v>
      </c>
      <c r="B673" s="17" t="s">
        <v>45</v>
      </c>
      <c r="C673" s="17">
        <v>2025</v>
      </c>
      <c r="D673" s="17" t="str">
        <f t="array" ref="D673">_xlfn.SWITCH(E673,"Bagor","35.18.14","Sukomoro",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3" s="16" t="s">
        <v>29</v>
      </c>
      <c r="F673" s="33" t="s">
        <v>1816</v>
      </c>
      <c r="G673" s="33" t="s">
        <v>1862</v>
      </c>
      <c r="H673" s="16" t="s">
        <v>31</v>
      </c>
      <c r="I673" s="16">
        <v>3</v>
      </c>
      <c r="J673" s="16">
        <v>0</v>
      </c>
      <c r="K673" s="16">
        <f t="shared" si="12"/>
        <v>3</v>
      </c>
      <c r="L673" s="38">
        <v>10000000</v>
      </c>
      <c r="M673" s="17" t="s">
        <v>1518</v>
      </c>
      <c r="N673" s="67">
        <f>17*12</f>
        <v>204</v>
      </c>
      <c r="O673" s="16" t="s">
        <v>1263</v>
      </c>
      <c r="P673" s="30">
        <v>193800000</v>
      </c>
      <c r="Q673" s="33" t="s">
        <v>1680</v>
      </c>
      <c r="R673" s="38">
        <f>4*12</f>
        <v>48</v>
      </c>
      <c r="S673" s="16" t="s">
        <v>69</v>
      </c>
      <c r="T673" s="30">
        <v>144000000</v>
      </c>
      <c r="U673" s="16" t="s">
        <v>22</v>
      </c>
      <c r="V673" s="20">
        <v>0</v>
      </c>
      <c r="W673" s="16">
        <v>0</v>
      </c>
      <c r="X673" s="16">
        <v>0</v>
      </c>
      <c r="Y673" s="16">
        <v>65</v>
      </c>
      <c r="Z673" s="16">
        <v>35</v>
      </c>
      <c r="AA673" s="16">
        <v>0</v>
      </c>
      <c r="AB673" s="16">
        <v>0</v>
      </c>
      <c r="AC673" s="16"/>
      <c r="AD673" s="68"/>
      <c r="AE673" s="23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</row>
    <row r="674" spans="1:84" s="2" customFormat="1" x14ac:dyDescent="0.2">
      <c r="A674" s="17" t="s">
        <v>3921</v>
      </c>
      <c r="B674" s="17" t="s">
        <v>45</v>
      </c>
      <c r="C674" s="17">
        <v>2025</v>
      </c>
      <c r="D674" s="17" t="str">
        <f t="array" ref="D674">_xlfn.SWITCH(E674,"Bagor","35.18.14","Sukomoro",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4" s="16" t="s">
        <v>29</v>
      </c>
      <c r="F674" s="33" t="s">
        <v>1816</v>
      </c>
      <c r="G674" s="33" t="s">
        <v>1863</v>
      </c>
      <c r="H674" s="16" t="s">
        <v>31</v>
      </c>
      <c r="I674" s="16">
        <v>1</v>
      </c>
      <c r="J674" s="16">
        <v>0</v>
      </c>
      <c r="K674" s="16">
        <f t="shared" si="12"/>
        <v>1</v>
      </c>
      <c r="L674" s="38">
        <v>2000000</v>
      </c>
      <c r="M674" s="17" t="s">
        <v>1518</v>
      </c>
      <c r="N674" s="67">
        <f>9*12</f>
        <v>108</v>
      </c>
      <c r="O674" s="16" t="s">
        <v>1263</v>
      </c>
      <c r="P674" s="30">
        <v>37800000</v>
      </c>
      <c r="Q674" s="33" t="s">
        <v>1680</v>
      </c>
      <c r="R674" s="38">
        <v>24</v>
      </c>
      <c r="S674" s="16" t="s">
        <v>69</v>
      </c>
      <c r="T674" s="30">
        <v>18000000</v>
      </c>
      <c r="U674" s="16" t="s">
        <v>22</v>
      </c>
      <c r="V674" s="20">
        <v>0</v>
      </c>
      <c r="W674" s="16">
        <v>0</v>
      </c>
      <c r="X674" s="16">
        <v>0</v>
      </c>
      <c r="Y674" s="16">
        <v>60</v>
      </c>
      <c r="Z674" s="16">
        <v>40</v>
      </c>
      <c r="AA674" s="16">
        <v>0</v>
      </c>
      <c r="AB674" s="16">
        <v>0</v>
      </c>
      <c r="AC674" s="16"/>
      <c r="AD674" s="68"/>
      <c r="AE674" s="23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</row>
    <row r="675" spans="1:84" s="2" customFormat="1" x14ac:dyDescent="0.2">
      <c r="A675" s="17" t="s">
        <v>3921</v>
      </c>
      <c r="B675" s="17" t="s">
        <v>45</v>
      </c>
      <c r="C675" s="17">
        <v>2025</v>
      </c>
      <c r="D675" s="17" t="str">
        <f t="array" ref="D675">_xlfn.SWITCH(E675,"Bagor","35.18.14","Sukomoro",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5" s="16" t="s">
        <v>29</v>
      </c>
      <c r="F675" s="33" t="s">
        <v>1816</v>
      </c>
      <c r="G675" s="33" t="s">
        <v>1864</v>
      </c>
      <c r="H675" s="16" t="s">
        <v>31</v>
      </c>
      <c r="I675" s="16">
        <v>7</v>
      </c>
      <c r="J675" s="16">
        <v>0</v>
      </c>
      <c r="K675" s="16">
        <f t="shared" si="12"/>
        <v>7</v>
      </c>
      <c r="L675" s="38">
        <v>100000000</v>
      </c>
      <c r="M675" s="17" t="s">
        <v>1518</v>
      </c>
      <c r="N675" s="67">
        <f>16*12</f>
        <v>192</v>
      </c>
      <c r="O675" s="16" t="s">
        <v>1263</v>
      </c>
      <c r="P675" s="30">
        <v>249600000</v>
      </c>
      <c r="Q675" s="33" t="s">
        <v>1680</v>
      </c>
      <c r="R675" s="38">
        <f>5*12</f>
        <v>60</v>
      </c>
      <c r="S675" s="16" t="s">
        <v>69</v>
      </c>
      <c r="T675" s="30">
        <v>120000000</v>
      </c>
      <c r="U675" s="16" t="s">
        <v>22</v>
      </c>
      <c r="V675" s="20">
        <v>0</v>
      </c>
      <c r="W675" s="16">
        <v>0</v>
      </c>
      <c r="X675" s="16">
        <v>0</v>
      </c>
      <c r="Y675" s="16">
        <v>55</v>
      </c>
      <c r="Z675" s="16">
        <v>45</v>
      </c>
      <c r="AA675" s="16">
        <v>0</v>
      </c>
      <c r="AB675" s="16">
        <v>0</v>
      </c>
      <c r="AC675" s="16"/>
      <c r="AD675" s="68"/>
      <c r="AE675" s="23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</row>
    <row r="676" spans="1:84" s="2" customFormat="1" ht="20" x14ac:dyDescent="0.2">
      <c r="A676" s="17" t="s">
        <v>3921</v>
      </c>
      <c r="B676" s="17" t="s">
        <v>45</v>
      </c>
      <c r="C676" s="17">
        <v>2025</v>
      </c>
      <c r="D676" s="17" t="str">
        <f t="array" ref="D676">_xlfn.SWITCH(E676,"Bagor","35.18.14","Sukomoro",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6" s="16" t="s">
        <v>29</v>
      </c>
      <c r="F676" s="33" t="s">
        <v>1865</v>
      </c>
      <c r="G676" s="33" t="s">
        <v>1866</v>
      </c>
      <c r="H676" s="16" t="s">
        <v>47</v>
      </c>
      <c r="I676" s="16">
        <v>5</v>
      </c>
      <c r="J676" s="16">
        <v>0</v>
      </c>
      <c r="K676" s="16">
        <f t="shared" si="12"/>
        <v>5</v>
      </c>
      <c r="L676" s="38">
        <v>75000000</v>
      </c>
      <c r="M676" s="17" t="s">
        <v>1518</v>
      </c>
      <c r="N676" s="67">
        <f>4*12</f>
        <v>48</v>
      </c>
      <c r="O676" s="16" t="s">
        <v>69</v>
      </c>
      <c r="P676" s="30">
        <v>168000000</v>
      </c>
      <c r="Q676" s="33" t="s">
        <v>1680</v>
      </c>
      <c r="R676" s="38">
        <v>28</v>
      </c>
      <c r="S676" s="16" t="s">
        <v>69</v>
      </c>
      <c r="T676" s="30">
        <v>98000000</v>
      </c>
      <c r="U676" s="16" t="s">
        <v>22</v>
      </c>
      <c r="V676" s="20" t="s">
        <v>1677</v>
      </c>
      <c r="W676" s="16"/>
      <c r="X676" s="16"/>
      <c r="Y676" s="16">
        <v>70</v>
      </c>
      <c r="Z676" s="16">
        <v>30</v>
      </c>
      <c r="AA676" s="16">
        <v>0</v>
      </c>
      <c r="AB676" s="16">
        <v>0</v>
      </c>
      <c r="AC676" s="16" t="s">
        <v>1867</v>
      </c>
      <c r="AD676" s="68"/>
      <c r="AE676" s="23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</row>
    <row r="677" spans="1:84" s="2" customFormat="1" ht="20" x14ac:dyDescent="0.2">
      <c r="A677" s="17" t="s">
        <v>3921</v>
      </c>
      <c r="B677" s="17" t="s">
        <v>45</v>
      </c>
      <c r="C677" s="17">
        <v>2025</v>
      </c>
      <c r="D677" s="17" t="str">
        <f t="array" ref="D677">_xlfn.SWITCH(E677,"Bagor","35.18.14","Sukomoro",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7" s="16" t="s">
        <v>29</v>
      </c>
      <c r="F677" s="33" t="s">
        <v>1868</v>
      </c>
      <c r="G677" s="33" t="s">
        <v>1855</v>
      </c>
      <c r="H677" s="16" t="s">
        <v>47</v>
      </c>
      <c r="I677" s="16">
        <v>4</v>
      </c>
      <c r="J677" s="16">
        <v>0</v>
      </c>
      <c r="K677" s="16">
        <f t="shared" si="12"/>
        <v>4</v>
      </c>
      <c r="L677" s="38">
        <v>11000000</v>
      </c>
      <c r="M677" s="17" t="s">
        <v>1518</v>
      </c>
      <c r="N677" s="67">
        <v>80</v>
      </c>
      <c r="O677" s="16" t="s">
        <v>69</v>
      </c>
      <c r="P677" s="30">
        <v>60000000</v>
      </c>
      <c r="Q677" s="33" t="s">
        <v>1680</v>
      </c>
      <c r="R677" s="38">
        <v>48</v>
      </c>
      <c r="S677" s="16" t="s">
        <v>69</v>
      </c>
      <c r="T677" s="30">
        <v>16800000</v>
      </c>
      <c r="U677" s="16" t="s">
        <v>22</v>
      </c>
      <c r="V677" s="20" t="s">
        <v>1677</v>
      </c>
      <c r="W677" s="16"/>
      <c r="X677" s="16"/>
      <c r="Y677" s="16">
        <v>65</v>
      </c>
      <c r="Z677" s="16">
        <v>35</v>
      </c>
      <c r="AA677" s="16">
        <v>0</v>
      </c>
      <c r="AB677" s="16">
        <v>0</v>
      </c>
      <c r="AC677" s="16" t="s">
        <v>1869</v>
      </c>
      <c r="AD677" s="68"/>
      <c r="AE677" s="23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</row>
    <row r="678" spans="1:84" s="2" customFormat="1" ht="20" x14ac:dyDescent="0.2">
      <c r="A678" s="17" t="s">
        <v>3921</v>
      </c>
      <c r="B678" s="17" t="s">
        <v>45</v>
      </c>
      <c r="C678" s="17">
        <v>2025</v>
      </c>
      <c r="D678" s="17" t="str">
        <f t="array" ref="D678">_xlfn.SWITCH(E678,"Bagor","35.18.14","Sukomoro",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8" s="16" t="s">
        <v>29</v>
      </c>
      <c r="F678" s="33" t="s">
        <v>1868</v>
      </c>
      <c r="G678" s="33" t="s">
        <v>1870</v>
      </c>
      <c r="H678" s="16" t="s">
        <v>47</v>
      </c>
      <c r="I678" s="16">
        <v>6</v>
      </c>
      <c r="J678" s="16">
        <v>0</v>
      </c>
      <c r="K678" s="16">
        <f t="shared" si="12"/>
        <v>6</v>
      </c>
      <c r="L678" s="38">
        <v>30000000</v>
      </c>
      <c r="M678" s="17" t="s">
        <v>72</v>
      </c>
      <c r="N678" s="67">
        <v>150</v>
      </c>
      <c r="O678" s="16" t="s">
        <v>69</v>
      </c>
      <c r="P678" s="30">
        <v>180000000</v>
      </c>
      <c r="Q678" s="33" t="s">
        <v>1680</v>
      </c>
      <c r="R678" s="38">
        <v>150</v>
      </c>
      <c r="S678" s="16" t="s">
        <v>69</v>
      </c>
      <c r="T678" s="30">
        <v>42000000</v>
      </c>
      <c r="U678" s="16" t="s">
        <v>22</v>
      </c>
      <c r="V678" s="20" t="s">
        <v>1677</v>
      </c>
      <c r="W678" s="16"/>
      <c r="X678" s="16"/>
      <c r="Y678" s="16">
        <v>70</v>
      </c>
      <c r="Z678" s="16">
        <v>30</v>
      </c>
      <c r="AA678" s="16">
        <v>0</v>
      </c>
      <c r="AB678" s="16">
        <v>0</v>
      </c>
      <c r="AC678" s="16" t="s">
        <v>1871</v>
      </c>
      <c r="AD678" s="68"/>
      <c r="AE678" s="23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</row>
    <row r="679" spans="1:84" s="2" customFormat="1" ht="20" x14ac:dyDescent="0.2">
      <c r="A679" s="17" t="s">
        <v>3921</v>
      </c>
      <c r="B679" s="17" t="s">
        <v>45</v>
      </c>
      <c r="C679" s="17">
        <v>2025</v>
      </c>
      <c r="D679" s="17" t="str">
        <f t="array" ref="D679">_xlfn.SWITCH(E679,"Bagor","35.18.14","Sukomoro",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9" s="16" t="s">
        <v>29</v>
      </c>
      <c r="F679" s="33" t="s">
        <v>1868</v>
      </c>
      <c r="G679" s="33" t="s">
        <v>1872</v>
      </c>
      <c r="H679" s="16" t="s">
        <v>31</v>
      </c>
      <c r="I679" s="16">
        <v>2</v>
      </c>
      <c r="J679" s="16">
        <v>0</v>
      </c>
      <c r="K679" s="16">
        <f t="shared" si="12"/>
        <v>2</v>
      </c>
      <c r="L679" s="38">
        <v>30000000</v>
      </c>
      <c r="M679" s="17" t="s">
        <v>1518</v>
      </c>
      <c r="N679" s="67">
        <v>24</v>
      </c>
      <c r="O679" s="16" t="s">
        <v>69</v>
      </c>
      <c r="P679" s="30">
        <v>60000000</v>
      </c>
      <c r="Q679" s="33" t="s">
        <v>1680</v>
      </c>
      <c r="R679" s="38">
        <v>24</v>
      </c>
      <c r="S679" s="16" t="s">
        <v>69</v>
      </c>
      <c r="T679" s="30">
        <v>43200000</v>
      </c>
      <c r="U679" s="16" t="s">
        <v>22</v>
      </c>
      <c r="V679" s="20" t="s">
        <v>1677</v>
      </c>
      <c r="W679" s="16"/>
      <c r="X679" s="16"/>
      <c r="Y679" s="16">
        <v>75</v>
      </c>
      <c r="Z679" s="16">
        <v>25</v>
      </c>
      <c r="AA679" s="16">
        <v>0</v>
      </c>
      <c r="AB679" s="16">
        <v>0</v>
      </c>
      <c r="AC679" s="16"/>
      <c r="AD679" s="68"/>
      <c r="AE679" s="23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</row>
    <row r="680" spans="1:84" s="2" customFormat="1" ht="20" x14ac:dyDescent="0.2">
      <c r="A680" s="17" t="s">
        <v>3921</v>
      </c>
      <c r="B680" s="17" t="s">
        <v>45</v>
      </c>
      <c r="C680" s="17">
        <v>2025</v>
      </c>
      <c r="D680" s="17" t="str">
        <f t="array" ref="D680">_xlfn.SWITCH(E680,"Bagor","35.18.14","Sukomoro",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0" s="16" t="s">
        <v>29</v>
      </c>
      <c r="F680" s="33" t="s">
        <v>1868</v>
      </c>
      <c r="G680" s="33" t="s">
        <v>1873</v>
      </c>
      <c r="H680" s="16" t="s">
        <v>47</v>
      </c>
      <c r="I680" s="16">
        <v>5</v>
      </c>
      <c r="J680" s="16">
        <v>0</v>
      </c>
      <c r="K680" s="16">
        <f t="shared" si="12"/>
        <v>5</v>
      </c>
      <c r="L680" s="38">
        <v>71750000</v>
      </c>
      <c r="M680" s="17" t="s">
        <v>108</v>
      </c>
      <c r="N680" s="67">
        <v>45</v>
      </c>
      <c r="O680" s="16" t="s">
        <v>69</v>
      </c>
      <c r="P680" s="30">
        <v>180000000</v>
      </c>
      <c r="Q680" s="33" t="s">
        <v>1680</v>
      </c>
      <c r="R680" s="38">
        <v>45</v>
      </c>
      <c r="S680" s="16" t="s">
        <v>69</v>
      </c>
      <c r="T680" s="30">
        <v>135000000</v>
      </c>
      <c r="U680" s="16" t="s">
        <v>22</v>
      </c>
      <c r="V680" s="20" t="s">
        <v>1677</v>
      </c>
      <c r="W680" s="16"/>
      <c r="X680" s="16"/>
      <c r="Y680" s="16">
        <v>75</v>
      </c>
      <c r="Z680" s="16">
        <v>25</v>
      </c>
      <c r="AA680" s="16">
        <v>0</v>
      </c>
      <c r="AB680" s="16">
        <v>0</v>
      </c>
      <c r="AC680" s="16" t="s">
        <v>1874</v>
      </c>
      <c r="AD680" s="68"/>
      <c r="AE680" s="23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</row>
    <row r="681" spans="1:84" s="2" customFormat="1" ht="20" x14ac:dyDescent="0.2">
      <c r="A681" s="17" t="s">
        <v>3921</v>
      </c>
      <c r="B681" s="17" t="s">
        <v>45</v>
      </c>
      <c r="C681" s="17">
        <v>2025</v>
      </c>
      <c r="D681" s="17" t="str">
        <f t="array" ref="D681">_xlfn.SWITCH(E681,"Bagor","35.18.14","Sukomoro",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1" s="16" t="s">
        <v>29</v>
      </c>
      <c r="F681" s="33" t="s">
        <v>1868</v>
      </c>
      <c r="G681" s="33" t="s">
        <v>1875</v>
      </c>
      <c r="H681" s="16" t="s">
        <v>31</v>
      </c>
      <c r="I681" s="16">
        <v>2</v>
      </c>
      <c r="J681" s="16">
        <v>0</v>
      </c>
      <c r="K681" s="16">
        <f t="shared" si="12"/>
        <v>2</v>
      </c>
      <c r="L681" s="38">
        <v>5000000</v>
      </c>
      <c r="M681" s="17" t="s">
        <v>1518</v>
      </c>
      <c r="N681" s="67">
        <v>24</v>
      </c>
      <c r="O681" s="16" t="s">
        <v>69</v>
      </c>
      <c r="P681" s="30">
        <v>36000000</v>
      </c>
      <c r="Q681" s="33" t="s">
        <v>1680</v>
      </c>
      <c r="R681" s="38">
        <v>24</v>
      </c>
      <c r="S681" s="16" t="s">
        <v>69</v>
      </c>
      <c r="T681" s="30">
        <v>24000000</v>
      </c>
      <c r="U681" s="16" t="s">
        <v>22</v>
      </c>
      <c r="V681" s="20" t="s">
        <v>1677</v>
      </c>
      <c r="W681" s="16"/>
      <c r="X681" s="16"/>
      <c r="Y681" s="16">
        <v>65</v>
      </c>
      <c r="Z681" s="16">
        <v>35</v>
      </c>
      <c r="AA681" s="16">
        <v>0</v>
      </c>
      <c r="AB681" s="16">
        <v>0</v>
      </c>
      <c r="AC681" s="16"/>
      <c r="AD681" s="68"/>
      <c r="AE681" s="23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</row>
    <row r="682" spans="1:84" s="2" customFormat="1" ht="20" x14ac:dyDescent="0.2">
      <c r="A682" s="17" t="s">
        <v>3921</v>
      </c>
      <c r="B682" s="17" t="s">
        <v>45</v>
      </c>
      <c r="C682" s="17">
        <v>2025</v>
      </c>
      <c r="D682" s="17" t="str">
        <f t="array" ref="D682">_xlfn.SWITCH(E682,"Bagor","35.18.14","Sukomoro",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2" s="16" t="s">
        <v>29</v>
      </c>
      <c r="F682" s="33" t="s">
        <v>1868</v>
      </c>
      <c r="G682" s="33" t="s">
        <v>1876</v>
      </c>
      <c r="H682" s="16" t="s">
        <v>31</v>
      </c>
      <c r="I682" s="16">
        <v>3</v>
      </c>
      <c r="J682" s="16">
        <v>0</v>
      </c>
      <c r="K682" s="16">
        <f t="shared" si="12"/>
        <v>3</v>
      </c>
      <c r="L682" s="38">
        <v>100000000</v>
      </c>
      <c r="M682" s="17" t="s">
        <v>1518</v>
      </c>
      <c r="N682" s="67">
        <f>5*12</f>
        <v>60</v>
      </c>
      <c r="O682" s="16" t="s">
        <v>69</v>
      </c>
      <c r="P682" s="30">
        <v>150000000</v>
      </c>
      <c r="Q682" s="33" t="s">
        <v>1680</v>
      </c>
      <c r="R682" s="38">
        <v>60</v>
      </c>
      <c r="S682" s="16" t="s">
        <v>69</v>
      </c>
      <c r="T682" s="30">
        <v>90000000</v>
      </c>
      <c r="U682" s="16" t="s">
        <v>22</v>
      </c>
      <c r="V682" s="20" t="s">
        <v>1677</v>
      </c>
      <c r="W682" s="16"/>
      <c r="X682" s="16"/>
      <c r="Y682" s="16">
        <v>100</v>
      </c>
      <c r="Z682" s="16">
        <v>0</v>
      </c>
      <c r="AA682" s="16">
        <v>0</v>
      </c>
      <c r="AB682" s="16">
        <v>0</v>
      </c>
      <c r="AC682" s="16"/>
      <c r="AD682" s="68"/>
      <c r="AE682" s="23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</row>
    <row r="683" spans="1:84" s="2" customFormat="1" ht="20" x14ac:dyDescent="0.2">
      <c r="A683" s="17" t="s">
        <v>3921</v>
      </c>
      <c r="B683" s="17" t="s">
        <v>45</v>
      </c>
      <c r="C683" s="17">
        <v>2025</v>
      </c>
      <c r="D683" s="17" t="str">
        <f t="array" ref="D683">_xlfn.SWITCH(E683,"Bagor","35.18.14","Sukomoro",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3" s="16" t="s">
        <v>29</v>
      </c>
      <c r="F683" s="33" t="s">
        <v>1868</v>
      </c>
      <c r="G683" s="33" t="s">
        <v>1877</v>
      </c>
      <c r="H683" s="16" t="s">
        <v>47</v>
      </c>
      <c r="I683" s="16">
        <v>4</v>
      </c>
      <c r="J683" s="16">
        <v>0</v>
      </c>
      <c r="K683" s="16">
        <f t="shared" si="12"/>
        <v>4</v>
      </c>
      <c r="L683" s="38">
        <v>20000000</v>
      </c>
      <c r="M683" s="17" t="s">
        <v>1518</v>
      </c>
      <c r="N683" s="67">
        <v>100</v>
      </c>
      <c r="O683" s="16" t="s">
        <v>69</v>
      </c>
      <c r="P683" s="30">
        <v>120000000</v>
      </c>
      <c r="Q683" s="33" t="s">
        <v>1680</v>
      </c>
      <c r="R683" s="38">
        <v>40</v>
      </c>
      <c r="S683" s="16" t="s">
        <v>69</v>
      </c>
      <c r="T683" s="30">
        <v>52000000</v>
      </c>
      <c r="U683" s="16" t="s">
        <v>22</v>
      </c>
      <c r="V683" s="20">
        <v>0</v>
      </c>
      <c r="W683" s="16">
        <v>0</v>
      </c>
      <c r="X683" s="16">
        <v>0</v>
      </c>
      <c r="Y683" s="16">
        <v>100</v>
      </c>
      <c r="Z683" s="16">
        <v>0</v>
      </c>
      <c r="AA683" s="16">
        <v>0</v>
      </c>
      <c r="AB683" s="16">
        <v>0</v>
      </c>
      <c r="AC683" s="16"/>
      <c r="AD683" s="68"/>
      <c r="AE683" s="23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</row>
    <row r="684" spans="1:84" s="2" customFormat="1" x14ac:dyDescent="0.2">
      <c r="A684" s="17" t="s">
        <v>3921</v>
      </c>
      <c r="B684" s="17" t="s">
        <v>45</v>
      </c>
      <c r="C684" s="17">
        <v>2025</v>
      </c>
      <c r="D684" s="17" t="str">
        <f t="array" ref="D684">_xlfn.SWITCH(E684,"Bagor","35.18.14","Sukomoro",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4" s="16" t="s">
        <v>29</v>
      </c>
      <c r="F684" s="33" t="s">
        <v>1878</v>
      </c>
      <c r="G684" s="33" t="s">
        <v>1879</v>
      </c>
      <c r="H684" s="16" t="s">
        <v>31</v>
      </c>
      <c r="I684" s="16">
        <v>3</v>
      </c>
      <c r="J684" s="16">
        <v>0</v>
      </c>
      <c r="K684" s="16">
        <f t="shared" si="12"/>
        <v>3</v>
      </c>
      <c r="L684" s="38">
        <v>35000000</v>
      </c>
      <c r="M684" s="17" t="s">
        <v>1518</v>
      </c>
      <c r="N684" s="67">
        <v>26</v>
      </c>
      <c r="O684" s="16" t="s">
        <v>69</v>
      </c>
      <c r="P684" s="30">
        <v>39000000</v>
      </c>
      <c r="Q684" s="33" t="s">
        <v>1680</v>
      </c>
      <c r="R684" s="38">
        <v>10</v>
      </c>
      <c r="S684" s="16" t="s">
        <v>69</v>
      </c>
      <c r="T684" s="30">
        <v>20000000</v>
      </c>
      <c r="U684" s="16" t="s">
        <v>22</v>
      </c>
      <c r="V684" s="20">
        <v>0</v>
      </c>
      <c r="W684" s="16">
        <v>0</v>
      </c>
      <c r="X684" s="16">
        <v>0</v>
      </c>
      <c r="Y684" s="16">
        <v>60</v>
      </c>
      <c r="Z684" s="16">
        <v>40</v>
      </c>
      <c r="AA684" s="16">
        <v>0</v>
      </c>
      <c r="AB684" s="16">
        <v>0</v>
      </c>
      <c r="AC684" s="16"/>
      <c r="AD684" s="68"/>
      <c r="AE684" s="23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</row>
    <row r="685" spans="1:84" s="2" customFormat="1" x14ac:dyDescent="0.2">
      <c r="A685" s="17" t="s">
        <v>3921</v>
      </c>
      <c r="B685" s="17" t="s">
        <v>45</v>
      </c>
      <c r="C685" s="17">
        <v>2025</v>
      </c>
      <c r="D685" s="17" t="str">
        <f t="array" ref="D685">_xlfn.SWITCH(E685,"Bagor","35.18.14","Sukomoro",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5" s="16" t="s">
        <v>29</v>
      </c>
      <c r="F685" s="33" t="s">
        <v>1878</v>
      </c>
      <c r="G685" s="33" t="s">
        <v>1880</v>
      </c>
      <c r="H685" s="16" t="s">
        <v>31</v>
      </c>
      <c r="I685" s="16">
        <v>3</v>
      </c>
      <c r="J685" s="16">
        <v>0</v>
      </c>
      <c r="K685" s="16">
        <f t="shared" si="12"/>
        <v>3</v>
      </c>
      <c r="L685" s="38">
        <v>7500000</v>
      </c>
      <c r="M685" s="17" t="s">
        <v>1881</v>
      </c>
      <c r="N685" s="67">
        <v>60</v>
      </c>
      <c r="O685" s="16" t="s">
        <v>69</v>
      </c>
      <c r="P685" s="30">
        <v>105000000</v>
      </c>
      <c r="Q685" s="33" t="s">
        <v>1680</v>
      </c>
      <c r="R685" s="38">
        <v>60</v>
      </c>
      <c r="S685" s="16" t="s">
        <v>69</v>
      </c>
      <c r="T685" s="30">
        <v>90000000</v>
      </c>
      <c r="U685" s="16" t="s">
        <v>22</v>
      </c>
      <c r="V685" s="20">
        <v>0</v>
      </c>
      <c r="W685" s="16">
        <v>0</v>
      </c>
      <c r="X685" s="16">
        <v>0</v>
      </c>
      <c r="Y685" s="16">
        <v>70</v>
      </c>
      <c r="Z685" s="16">
        <v>30</v>
      </c>
      <c r="AA685" s="16">
        <v>0</v>
      </c>
      <c r="AB685" s="16">
        <v>0</v>
      </c>
      <c r="AC685" s="16"/>
      <c r="AD685" s="68"/>
      <c r="AE685" s="23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</row>
    <row r="686" spans="1:84" s="2" customFormat="1" x14ac:dyDescent="0.2">
      <c r="A686" s="17" t="s">
        <v>3921</v>
      </c>
      <c r="B686" s="17" t="s">
        <v>45</v>
      </c>
      <c r="C686" s="17">
        <v>2025</v>
      </c>
      <c r="D686" s="17" t="str">
        <f t="array" ref="D686">_xlfn.SWITCH(E686,"Bagor","35.18.14","Sukomoro",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6" s="16" t="s">
        <v>29</v>
      </c>
      <c r="F686" s="33" t="s">
        <v>1878</v>
      </c>
      <c r="G686" s="33" t="s">
        <v>1882</v>
      </c>
      <c r="H686" s="16" t="s">
        <v>31</v>
      </c>
      <c r="I686" s="16">
        <v>2</v>
      </c>
      <c r="J686" s="16">
        <v>0</v>
      </c>
      <c r="K686" s="16">
        <f t="shared" si="12"/>
        <v>2</v>
      </c>
      <c r="L686" s="38">
        <v>15000000</v>
      </c>
      <c r="M686" s="17" t="s">
        <v>1518</v>
      </c>
      <c r="N686" s="67">
        <v>8</v>
      </c>
      <c r="O686" s="16" t="s">
        <v>69</v>
      </c>
      <c r="P686" s="30">
        <v>32000000</v>
      </c>
      <c r="Q686" s="33" t="s">
        <v>1680</v>
      </c>
      <c r="R686" s="38">
        <v>8</v>
      </c>
      <c r="S686" s="16" t="s">
        <v>69</v>
      </c>
      <c r="T686" s="30">
        <v>13600000</v>
      </c>
      <c r="U686" s="16" t="s">
        <v>22</v>
      </c>
      <c r="V686" s="20">
        <v>0</v>
      </c>
      <c r="W686" s="16">
        <v>0</v>
      </c>
      <c r="X686" s="16">
        <v>0</v>
      </c>
      <c r="Y686" s="16">
        <v>65</v>
      </c>
      <c r="Z686" s="16">
        <v>35</v>
      </c>
      <c r="AA686" s="16">
        <v>0</v>
      </c>
      <c r="AB686" s="16">
        <v>0</v>
      </c>
      <c r="AC686" s="16"/>
      <c r="AD686" s="68"/>
      <c r="AE686" s="23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</row>
    <row r="687" spans="1:84" s="2" customFormat="1" x14ac:dyDescent="0.2">
      <c r="A687" s="17" t="s">
        <v>3921</v>
      </c>
      <c r="B687" s="17" t="s">
        <v>45</v>
      </c>
      <c r="C687" s="17">
        <v>2025</v>
      </c>
      <c r="D687" s="17" t="str">
        <f t="array" ref="D687">_xlfn.SWITCH(E687,"Bagor","35.18.14","Sukomoro",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7" s="16" t="s">
        <v>29</v>
      </c>
      <c r="F687" s="33" t="s">
        <v>1878</v>
      </c>
      <c r="G687" s="33" t="s">
        <v>1883</v>
      </c>
      <c r="H687" s="16" t="s">
        <v>31</v>
      </c>
      <c r="I687" s="16">
        <v>2</v>
      </c>
      <c r="J687" s="16">
        <v>0</v>
      </c>
      <c r="K687" s="16">
        <f t="shared" si="12"/>
        <v>2</v>
      </c>
      <c r="L687" s="38">
        <v>13000000</v>
      </c>
      <c r="M687" s="17" t="s">
        <v>1518</v>
      </c>
      <c r="N687" s="67">
        <v>60</v>
      </c>
      <c r="O687" s="16" t="s">
        <v>69</v>
      </c>
      <c r="P687" s="30">
        <v>78000000</v>
      </c>
      <c r="Q687" s="33" t="s">
        <v>1680</v>
      </c>
      <c r="R687" s="38">
        <v>60</v>
      </c>
      <c r="S687" s="16" t="s">
        <v>69</v>
      </c>
      <c r="T687" s="30">
        <v>39000000</v>
      </c>
      <c r="U687" s="16" t="s">
        <v>22</v>
      </c>
      <c r="V687" s="20">
        <v>0</v>
      </c>
      <c r="W687" s="16">
        <v>0</v>
      </c>
      <c r="X687" s="16">
        <v>0</v>
      </c>
      <c r="Y687" s="16">
        <v>60</v>
      </c>
      <c r="Z687" s="16">
        <v>40</v>
      </c>
      <c r="AA687" s="16">
        <v>0</v>
      </c>
      <c r="AB687" s="16">
        <v>0</v>
      </c>
      <c r="AC687" s="16"/>
      <c r="AD687" s="68"/>
      <c r="AE687" s="23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</row>
    <row r="688" spans="1:84" s="2" customFormat="1" x14ac:dyDescent="0.2">
      <c r="A688" s="17" t="s">
        <v>3921</v>
      </c>
      <c r="B688" s="17" t="s">
        <v>45</v>
      </c>
      <c r="C688" s="17">
        <v>2025</v>
      </c>
      <c r="D688" s="17" t="str">
        <f t="array" ref="D688">_xlfn.SWITCH(E688,"Bagor","35.18.14","Sukomoro",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8" s="16" t="s">
        <v>29</v>
      </c>
      <c r="F688" s="33" t="s">
        <v>1878</v>
      </c>
      <c r="G688" s="33" t="s">
        <v>1884</v>
      </c>
      <c r="H688" s="16" t="s">
        <v>47</v>
      </c>
      <c r="I688" s="16">
        <v>11</v>
      </c>
      <c r="J688" s="16">
        <v>0</v>
      </c>
      <c r="K688" s="16">
        <f t="shared" si="12"/>
        <v>11</v>
      </c>
      <c r="L688" s="38">
        <v>75000000</v>
      </c>
      <c r="M688" s="17" t="s">
        <v>1518</v>
      </c>
      <c r="N688" s="67">
        <v>49</v>
      </c>
      <c r="O688" s="16" t="s">
        <v>69</v>
      </c>
      <c r="P688" s="30">
        <v>196000000</v>
      </c>
      <c r="Q688" s="33" t="s">
        <v>1680</v>
      </c>
      <c r="R688" s="38">
        <v>49</v>
      </c>
      <c r="S688" s="16" t="s">
        <v>69</v>
      </c>
      <c r="T688" s="30">
        <v>73500000</v>
      </c>
      <c r="U688" s="16" t="s">
        <v>22</v>
      </c>
      <c r="V688" s="20" t="s">
        <v>1677</v>
      </c>
      <c r="W688" s="16"/>
      <c r="X688" s="16"/>
      <c r="Y688" s="16">
        <v>65</v>
      </c>
      <c r="Z688" s="16">
        <v>35</v>
      </c>
      <c r="AA688" s="16">
        <v>0</v>
      </c>
      <c r="AB688" s="16">
        <v>0</v>
      </c>
      <c r="AC688" s="16"/>
      <c r="AD688" s="68"/>
      <c r="AE688" s="23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</row>
    <row r="689" spans="1:84" s="2" customFormat="1" ht="20" x14ac:dyDescent="0.2">
      <c r="A689" s="17" t="s">
        <v>3921</v>
      </c>
      <c r="B689" s="17" t="s">
        <v>45</v>
      </c>
      <c r="C689" s="17">
        <v>2025</v>
      </c>
      <c r="D689" s="17" t="str">
        <f t="array" ref="D689">_xlfn.SWITCH(E689,"Bagor","35.18.14","Sukomoro",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9" s="16" t="s">
        <v>29</v>
      </c>
      <c r="F689" s="33" t="s">
        <v>1868</v>
      </c>
      <c r="G689" s="33" t="s">
        <v>1637</v>
      </c>
      <c r="H689" s="16" t="s">
        <v>31</v>
      </c>
      <c r="I689" s="16">
        <v>2</v>
      </c>
      <c r="J689" s="16">
        <v>0</v>
      </c>
      <c r="K689" s="16">
        <f t="shared" si="12"/>
        <v>2</v>
      </c>
      <c r="L689" s="38">
        <v>15000000</v>
      </c>
      <c r="M689" s="17" t="s">
        <v>1518</v>
      </c>
      <c r="N689" s="67">
        <v>15</v>
      </c>
      <c r="O689" s="16" t="s">
        <v>69</v>
      </c>
      <c r="P689" s="30">
        <v>45000000</v>
      </c>
      <c r="Q689" s="33" t="s">
        <v>1680</v>
      </c>
      <c r="R689" s="38" t="s">
        <v>1885</v>
      </c>
      <c r="S689" s="16" t="s">
        <v>69</v>
      </c>
      <c r="T689" s="30">
        <v>20250000</v>
      </c>
      <c r="U689" s="16" t="s">
        <v>22</v>
      </c>
      <c r="V689" s="20" t="s">
        <v>1677</v>
      </c>
      <c r="W689" s="16"/>
      <c r="X689" s="16"/>
      <c r="Y689" s="16">
        <v>50</v>
      </c>
      <c r="Z689" s="16">
        <v>30</v>
      </c>
      <c r="AA689" s="16">
        <v>20</v>
      </c>
      <c r="AB689" s="16">
        <v>0</v>
      </c>
      <c r="AC689" s="16"/>
      <c r="AD689" s="68"/>
      <c r="AE689" s="23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</row>
    <row r="690" spans="1:84" s="2" customFormat="1" ht="20" x14ac:dyDescent="0.2">
      <c r="A690" s="17" t="s">
        <v>3921</v>
      </c>
      <c r="B690" s="17" t="s">
        <v>45</v>
      </c>
      <c r="C690" s="17">
        <v>2025</v>
      </c>
      <c r="D690" s="17" t="str">
        <f t="array" ref="D690">_xlfn.SWITCH(E690,"Bagor","35.18.14","Sukomoro",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0" s="16" t="s">
        <v>29</v>
      </c>
      <c r="F690" s="33" t="s">
        <v>1868</v>
      </c>
      <c r="G690" s="33" t="s">
        <v>1886</v>
      </c>
      <c r="H690" s="16" t="s">
        <v>47</v>
      </c>
      <c r="I690" s="16">
        <v>2</v>
      </c>
      <c r="J690" s="16">
        <v>0</v>
      </c>
      <c r="K690" s="16">
        <f t="shared" si="12"/>
        <v>2</v>
      </c>
      <c r="L690" s="38">
        <v>20000000</v>
      </c>
      <c r="M690" s="17" t="s">
        <v>1518</v>
      </c>
      <c r="N690" s="67">
        <v>50</v>
      </c>
      <c r="O690" s="16" t="s">
        <v>69</v>
      </c>
      <c r="P690" s="30">
        <v>37500000</v>
      </c>
      <c r="Q690" s="33" t="s">
        <v>1680</v>
      </c>
      <c r="R690" s="38">
        <v>25</v>
      </c>
      <c r="S690" s="16" t="s">
        <v>69</v>
      </c>
      <c r="T690" s="30">
        <v>18750000</v>
      </c>
      <c r="U690" s="16" t="s">
        <v>22</v>
      </c>
      <c r="V690" s="20" t="s">
        <v>1677</v>
      </c>
      <c r="W690" s="16"/>
      <c r="X690" s="16"/>
      <c r="Y690" s="16">
        <v>40</v>
      </c>
      <c r="Z690" s="16">
        <v>35</v>
      </c>
      <c r="AA690" s="16">
        <v>25</v>
      </c>
      <c r="AB690" s="16">
        <v>0</v>
      </c>
      <c r="AC690" s="16"/>
      <c r="AD690" s="68"/>
      <c r="AE690" s="23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</row>
    <row r="691" spans="1:84" s="2" customFormat="1" ht="20" x14ac:dyDescent="0.2">
      <c r="A691" s="17" t="s">
        <v>3921</v>
      </c>
      <c r="B691" s="17" t="s">
        <v>45</v>
      </c>
      <c r="C691" s="17">
        <v>2025</v>
      </c>
      <c r="D691" s="17" t="str">
        <f t="array" ref="D691">_xlfn.SWITCH(E691,"Bagor","35.18.14","Sukomoro",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1" s="16" t="s">
        <v>29</v>
      </c>
      <c r="F691" s="33" t="s">
        <v>1865</v>
      </c>
      <c r="G691" s="33" t="s">
        <v>1887</v>
      </c>
      <c r="H691" s="16" t="s">
        <v>31</v>
      </c>
      <c r="I691" s="16">
        <v>2</v>
      </c>
      <c r="J691" s="16">
        <v>0</v>
      </c>
      <c r="K691" s="16">
        <f t="shared" si="12"/>
        <v>2</v>
      </c>
      <c r="L691" s="38">
        <v>6000000</v>
      </c>
      <c r="M691" s="17" t="s">
        <v>1518</v>
      </c>
      <c r="N691" s="67">
        <v>24</v>
      </c>
      <c r="O691" s="16" t="s">
        <v>69</v>
      </c>
      <c r="P691" s="30">
        <v>15600000</v>
      </c>
      <c r="Q691" s="33" t="s">
        <v>1680</v>
      </c>
      <c r="R691" s="38" t="s">
        <v>1888</v>
      </c>
      <c r="S691" s="16" t="s">
        <v>69</v>
      </c>
      <c r="T691" s="30">
        <v>4200000</v>
      </c>
      <c r="U691" s="16" t="s">
        <v>22</v>
      </c>
      <c r="V691" s="20" t="s">
        <v>1889</v>
      </c>
      <c r="W691" s="16"/>
      <c r="X691" s="16"/>
      <c r="Y691" s="16">
        <v>40</v>
      </c>
      <c r="Z691" s="16">
        <v>30</v>
      </c>
      <c r="AA691" s="16">
        <v>30</v>
      </c>
      <c r="AB691" s="16">
        <v>0</v>
      </c>
      <c r="AC691" s="16"/>
      <c r="AD691" s="68"/>
      <c r="AE691" s="23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</row>
    <row r="692" spans="1:84" s="2" customFormat="1" ht="20" x14ac:dyDescent="0.2">
      <c r="A692" s="17" t="s">
        <v>3921</v>
      </c>
      <c r="B692" s="17" t="s">
        <v>45</v>
      </c>
      <c r="C692" s="17">
        <v>2025</v>
      </c>
      <c r="D692" s="17" t="str">
        <f t="array" ref="D692">_xlfn.SWITCH(E692,"Bagor","35.18.14","Sukomoro",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2" s="16" t="s">
        <v>29</v>
      </c>
      <c r="F692" s="33" t="s">
        <v>1890</v>
      </c>
      <c r="G692" s="33" t="s">
        <v>1891</v>
      </c>
      <c r="H692" s="16" t="s">
        <v>47</v>
      </c>
      <c r="I692" s="16">
        <v>4</v>
      </c>
      <c r="J692" s="16">
        <v>0</v>
      </c>
      <c r="K692" s="16">
        <f t="shared" si="12"/>
        <v>4</v>
      </c>
      <c r="L692" s="38">
        <v>60050000</v>
      </c>
      <c r="M692" s="17" t="s">
        <v>72</v>
      </c>
      <c r="N692" s="67">
        <v>40</v>
      </c>
      <c r="O692" s="16" t="s">
        <v>69</v>
      </c>
      <c r="P692" s="30">
        <v>120000000</v>
      </c>
      <c r="Q692" s="33" t="s">
        <v>1680</v>
      </c>
      <c r="R692" s="38">
        <v>20</v>
      </c>
      <c r="S692" s="16" t="s">
        <v>69</v>
      </c>
      <c r="T692" s="30">
        <v>52000000</v>
      </c>
      <c r="U692" s="16" t="s">
        <v>22</v>
      </c>
      <c r="V692" s="20" t="s">
        <v>1677</v>
      </c>
      <c r="W692" s="16"/>
      <c r="X692" s="16"/>
      <c r="Y692" s="16">
        <v>35</v>
      </c>
      <c r="Z692" s="16">
        <v>40</v>
      </c>
      <c r="AA692" s="16">
        <v>25</v>
      </c>
      <c r="AB692" s="16">
        <v>0</v>
      </c>
      <c r="AC692" s="16"/>
      <c r="AD692" s="68"/>
      <c r="AE692" s="23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</row>
    <row r="693" spans="1:84" s="2" customFormat="1" x14ac:dyDescent="0.2">
      <c r="A693" s="17" t="s">
        <v>3921</v>
      </c>
      <c r="B693" s="17" t="s">
        <v>45</v>
      </c>
      <c r="C693" s="17">
        <v>2025</v>
      </c>
      <c r="D693" s="17" t="str">
        <f t="array" ref="D693">_xlfn.SWITCH(E693,"Bagor","35.18.14","Sukomoro",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3" s="16" t="s">
        <v>29</v>
      </c>
      <c r="F693" s="33" t="s">
        <v>1892</v>
      </c>
      <c r="G693" s="33" t="s">
        <v>1893</v>
      </c>
      <c r="H693" s="16" t="s">
        <v>31</v>
      </c>
      <c r="I693" s="16">
        <v>2</v>
      </c>
      <c r="J693" s="16">
        <v>0</v>
      </c>
      <c r="K693" s="16">
        <f t="shared" si="12"/>
        <v>2</v>
      </c>
      <c r="L693" s="38">
        <v>7500000</v>
      </c>
      <c r="M693" s="17" t="s">
        <v>1518</v>
      </c>
      <c r="N693" s="67">
        <f>4*12</f>
        <v>48</v>
      </c>
      <c r="O693" s="16" t="s">
        <v>211</v>
      </c>
      <c r="P693" s="30">
        <v>34080000</v>
      </c>
      <c r="Q693" s="33" t="s">
        <v>1680</v>
      </c>
      <c r="R693" s="38">
        <v>6</v>
      </c>
      <c r="S693" s="16" t="s">
        <v>69</v>
      </c>
      <c r="T693" s="30">
        <v>10200000</v>
      </c>
      <c r="U693" s="16" t="s">
        <v>22</v>
      </c>
      <c r="V693" s="20">
        <v>0</v>
      </c>
      <c r="W693" s="16">
        <v>0</v>
      </c>
      <c r="X693" s="16">
        <v>0</v>
      </c>
      <c r="Y693" s="16">
        <v>50</v>
      </c>
      <c r="Z693" s="16">
        <v>40</v>
      </c>
      <c r="AA693" s="16">
        <v>10</v>
      </c>
      <c r="AB693" s="16">
        <v>0</v>
      </c>
      <c r="AC693" s="16"/>
      <c r="AD693" s="68"/>
      <c r="AE693" s="23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</row>
    <row r="694" spans="1:84" s="2" customFormat="1" ht="20" x14ac:dyDescent="0.2">
      <c r="A694" s="17" t="s">
        <v>3921</v>
      </c>
      <c r="B694" s="17" t="s">
        <v>45</v>
      </c>
      <c r="C694" s="17">
        <v>2025</v>
      </c>
      <c r="D694" s="17" t="str">
        <f t="array" ref="D694">_xlfn.SWITCH(E694,"Bagor","35.18.14","Sukomoro",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4" s="16" t="s">
        <v>29</v>
      </c>
      <c r="F694" s="33" t="s">
        <v>1894</v>
      </c>
      <c r="G694" s="33" t="s">
        <v>1895</v>
      </c>
      <c r="H694" s="16" t="s">
        <v>31</v>
      </c>
      <c r="I694" s="16">
        <v>1</v>
      </c>
      <c r="J694" s="16">
        <v>1</v>
      </c>
      <c r="K694" s="16">
        <f t="shared" si="12"/>
        <v>2</v>
      </c>
      <c r="L694" s="38">
        <v>2500000</v>
      </c>
      <c r="M694" s="17" t="s">
        <v>72</v>
      </c>
      <c r="N694" s="67">
        <v>30</v>
      </c>
      <c r="O694" s="16" t="s">
        <v>1263</v>
      </c>
      <c r="P694" s="30">
        <v>13500000</v>
      </c>
      <c r="Q694" s="33" t="s">
        <v>1680</v>
      </c>
      <c r="R694" s="38">
        <v>12</v>
      </c>
      <c r="S694" s="16" t="s">
        <v>69</v>
      </c>
      <c r="T694" s="30">
        <v>5400000</v>
      </c>
      <c r="U694" s="16" t="s">
        <v>22</v>
      </c>
      <c r="V694" s="20" t="s">
        <v>1889</v>
      </c>
      <c r="W694" s="16"/>
      <c r="X694" s="16"/>
      <c r="Y694" s="16">
        <v>40</v>
      </c>
      <c r="Z694" s="16">
        <v>30</v>
      </c>
      <c r="AA694" s="16">
        <v>30</v>
      </c>
      <c r="AB694" s="16">
        <v>0</v>
      </c>
      <c r="AC694" s="16"/>
      <c r="AD694" s="68"/>
      <c r="AE694" s="23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</row>
    <row r="695" spans="1:84" s="2" customFormat="1" ht="20" x14ac:dyDescent="0.2">
      <c r="A695" s="17" t="s">
        <v>3921</v>
      </c>
      <c r="B695" s="17" t="s">
        <v>45</v>
      </c>
      <c r="C695" s="17">
        <v>2025</v>
      </c>
      <c r="D695" s="17" t="str">
        <f t="array" ref="D695">_xlfn.SWITCH(E695,"Bagor","35.18.14","Sukomoro",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5" s="16" t="s">
        <v>29</v>
      </c>
      <c r="F695" s="33" t="s">
        <v>1894</v>
      </c>
      <c r="G695" s="33" t="s">
        <v>1896</v>
      </c>
      <c r="H695" s="16" t="s">
        <v>31</v>
      </c>
      <c r="I695" s="16">
        <v>3</v>
      </c>
      <c r="J695" s="16">
        <v>0</v>
      </c>
      <c r="K695" s="16">
        <f t="shared" si="12"/>
        <v>3</v>
      </c>
      <c r="L695" s="38">
        <v>5000000</v>
      </c>
      <c r="M695" s="17" t="s">
        <v>1518</v>
      </c>
      <c r="N695" s="67">
        <f>6*12</f>
        <v>72</v>
      </c>
      <c r="O695" s="16" t="s">
        <v>69</v>
      </c>
      <c r="P695" s="30">
        <v>54000000</v>
      </c>
      <c r="Q695" s="33" t="s">
        <v>1680</v>
      </c>
      <c r="R695" s="38">
        <v>72</v>
      </c>
      <c r="S695" s="16" t="s">
        <v>69</v>
      </c>
      <c r="T695" s="30">
        <v>25200000</v>
      </c>
      <c r="U695" s="16" t="s">
        <v>22</v>
      </c>
      <c r="V695" s="20" t="s">
        <v>1889</v>
      </c>
      <c r="W695" s="16"/>
      <c r="X695" s="16"/>
      <c r="Y695" s="16">
        <v>50</v>
      </c>
      <c r="Z695" s="16">
        <v>30</v>
      </c>
      <c r="AA695" s="16">
        <v>20</v>
      </c>
      <c r="AB695" s="16">
        <v>0</v>
      </c>
      <c r="AC695" s="16"/>
      <c r="AD695" s="68"/>
      <c r="AE695" s="23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</row>
    <row r="696" spans="1:84" s="2" customFormat="1" ht="20" x14ac:dyDescent="0.2">
      <c r="A696" s="17" t="s">
        <v>3921</v>
      </c>
      <c r="B696" s="17" t="s">
        <v>45</v>
      </c>
      <c r="C696" s="17">
        <v>2025</v>
      </c>
      <c r="D696" s="17" t="str">
        <f t="array" ref="D696">_xlfn.SWITCH(E696,"Bagor","35.18.14","Sukomoro",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6" s="16" t="s">
        <v>29</v>
      </c>
      <c r="F696" s="33" t="s">
        <v>1894</v>
      </c>
      <c r="G696" s="33" t="s">
        <v>1897</v>
      </c>
      <c r="H696" s="16" t="s">
        <v>31</v>
      </c>
      <c r="I696" s="16">
        <v>1</v>
      </c>
      <c r="J696" s="16">
        <v>0</v>
      </c>
      <c r="K696" s="16">
        <f t="shared" si="12"/>
        <v>1</v>
      </c>
      <c r="L696" s="38">
        <v>2200000</v>
      </c>
      <c r="M696" s="17" t="s">
        <v>1518</v>
      </c>
      <c r="N696" s="67">
        <v>12</v>
      </c>
      <c r="O696" s="16" t="s">
        <v>69</v>
      </c>
      <c r="P696" s="30">
        <v>9000000</v>
      </c>
      <c r="Q696" s="33" t="s">
        <v>1680</v>
      </c>
      <c r="R696" s="38" t="s">
        <v>1898</v>
      </c>
      <c r="S696" s="16" t="s">
        <v>69</v>
      </c>
      <c r="T696" s="30">
        <v>4550000</v>
      </c>
      <c r="U696" s="16" t="s">
        <v>22</v>
      </c>
      <c r="V696" s="20" t="s">
        <v>1889</v>
      </c>
      <c r="W696" s="16"/>
      <c r="X696" s="16"/>
      <c r="Y696" s="16">
        <v>45</v>
      </c>
      <c r="Z696" s="16">
        <v>30</v>
      </c>
      <c r="AA696" s="16">
        <v>25</v>
      </c>
      <c r="AB696" s="16">
        <v>0</v>
      </c>
      <c r="AC696" s="16"/>
      <c r="AD696" s="68"/>
      <c r="AE696" s="23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</row>
    <row r="697" spans="1:84" s="2" customFormat="1" ht="20" x14ac:dyDescent="0.2">
      <c r="A697" s="17" t="s">
        <v>3921</v>
      </c>
      <c r="B697" s="17" t="s">
        <v>45</v>
      </c>
      <c r="C697" s="17">
        <v>2025</v>
      </c>
      <c r="D697" s="17" t="str">
        <f t="array" ref="D697">_xlfn.SWITCH(E697,"Bagor","35.18.14","Sukomoro",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7" s="16" t="s">
        <v>29</v>
      </c>
      <c r="F697" s="33" t="s">
        <v>1894</v>
      </c>
      <c r="G697" s="33" t="s">
        <v>1899</v>
      </c>
      <c r="H697" s="16" t="s">
        <v>31</v>
      </c>
      <c r="I697" s="16">
        <v>2</v>
      </c>
      <c r="J697" s="16">
        <v>0</v>
      </c>
      <c r="K697" s="16">
        <f t="shared" si="12"/>
        <v>2</v>
      </c>
      <c r="L697" s="38">
        <v>10000000</v>
      </c>
      <c r="M697" s="17" t="s">
        <v>1518</v>
      </c>
      <c r="N697" s="67">
        <f>3*12</f>
        <v>36</v>
      </c>
      <c r="O697" s="16" t="s">
        <v>69</v>
      </c>
      <c r="P697" s="30">
        <v>43200000</v>
      </c>
      <c r="Q697" s="33" t="s">
        <v>1680</v>
      </c>
      <c r="R697" s="38">
        <v>24</v>
      </c>
      <c r="S697" s="16" t="s">
        <v>69</v>
      </c>
      <c r="T697" s="30">
        <v>26400000</v>
      </c>
      <c r="U697" s="16" t="s">
        <v>22</v>
      </c>
      <c r="V697" s="20" t="s">
        <v>1889</v>
      </c>
      <c r="W697" s="16"/>
      <c r="X697" s="16"/>
      <c r="Y697" s="16">
        <v>40</v>
      </c>
      <c r="Z697" s="16">
        <v>40</v>
      </c>
      <c r="AA697" s="16">
        <v>20</v>
      </c>
      <c r="AB697" s="16">
        <v>0</v>
      </c>
      <c r="AC697" s="16"/>
      <c r="AD697" s="68"/>
      <c r="AE697" s="23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</row>
    <row r="698" spans="1:84" s="2" customFormat="1" ht="20" x14ac:dyDescent="0.2">
      <c r="A698" s="17" t="s">
        <v>3921</v>
      </c>
      <c r="B698" s="17" t="s">
        <v>45</v>
      </c>
      <c r="C698" s="17">
        <v>2025</v>
      </c>
      <c r="D698" s="17" t="str">
        <f t="array" ref="D698">_xlfn.SWITCH(E698,"Bagor","35.18.14","Sukomoro",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8" s="16" t="s">
        <v>29</v>
      </c>
      <c r="F698" s="33" t="s">
        <v>1894</v>
      </c>
      <c r="G698" s="33" t="s">
        <v>1900</v>
      </c>
      <c r="H698" s="16" t="s">
        <v>31</v>
      </c>
      <c r="I698" s="16">
        <v>1</v>
      </c>
      <c r="J698" s="16">
        <v>0</v>
      </c>
      <c r="K698" s="16">
        <f t="shared" si="12"/>
        <v>1</v>
      </c>
      <c r="L698" s="38">
        <v>2500000</v>
      </c>
      <c r="M698" s="17" t="s">
        <v>1518</v>
      </c>
      <c r="N698" s="67">
        <f>4*6</f>
        <v>24</v>
      </c>
      <c r="O698" s="16" t="s">
        <v>69</v>
      </c>
      <c r="P698" s="30">
        <v>18000000</v>
      </c>
      <c r="Q698" s="33" t="s">
        <v>1680</v>
      </c>
      <c r="R698" s="38">
        <v>18</v>
      </c>
      <c r="S698" s="16" t="s">
        <v>69</v>
      </c>
      <c r="T698" s="30">
        <v>8100000</v>
      </c>
      <c r="U698" s="16" t="s">
        <v>22</v>
      </c>
      <c r="V698" s="20" t="s">
        <v>1889</v>
      </c>
      <c r="W698" s="16"/>
      <c r="X698" s="16"/>
      <c r="Y698" s="16">
        <v>60</v>
      </c>
      <c r="Z698" s="16">
        <v>40</v>
      </c>
      <c r="AA698" s="16">
        <v>0</v>
      </c>
      <c r="AB698" s="16">
        <v>0</v>
      </c>
      <c r="AC698" s="16"/>
      <c r="AD698" s="68"/>
      <c r="AE698" s="23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</row>
    <row r="699" spans="1:84" s="2" customFormat="1" ht="20" x14ac:dyDescent="0.2">
      <c r="A699" s="17" t="s">
        <v>3921</v>
      </c>
      <c r="B699" s="17" t="s">
        <v>45</v>
      </c>
      <c r="C699" s="17">
        <v>2025</v>
      </c>
      <c r="D699" s="17" t="str">
        <f t="array" ref="D699">_xlfn.SWITCH(E699,"Bagor","35.18.14","Sukomoro",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9" s="16" t="s">
        <v>29</v>
      </c>
      <c r="F699" s="33" t="s">
        <v>1894</v>
      </c>
      <c r="G699" s="33" t="s">
        <v>1901</v>
      </c>
      <c r="H699" s="16" t="s">
        <v>31</v>
      </c>
      <c r="I699" s="16">
        <v>2</v>
      </c>
      <c r="J699" s="16">
        <v>0</v>
      </c>
      <c r="K699" s="16">
        <f t="shared" si="12"/>
        <v>2</v>
      </c>
      <c r="L699" s="38">
        <v>10000000</v>
      </c>
      <c r="M699" s="17" t="s">
        <v>1518</v>
      </c>
      <c r="N699" s="67">
        <v>15</v>
      </c>
      <c r="O699" s="16" t="s">
        <v>69</v>
      </c>
      <c r="P699" s="30">
        <v>22500000</v>
      </c>
      <c r="Q699" s="33" t="s">
        <v>1680</v>
      </c>
      <c r="R699" s="38">
        <v>7</v>
      </c>
      <c r="S699" s="16" t="s">
        <v>69</v>
      </c>
      <c r="T699" s="30">
        <v>14000000</v>
      </c>
      <c r="U699" s="16" t="s">
        <v>22</v>
      </c>
      <c r="V699" s="20" t="s">
        <v>1889</v>
      </c>
      <c r="W699" s="16"/>
      <c r="X699" s="16"/>
      <c r="Y699" s="16">
        <v>40</v>
      </c>
      <c r="Z699" s="16">
        <v>30</v>
      </c>
      <c r="AA699" s="16">
        <v>30</v>
      </c>
      <c r="AB699" s="16">
        <v>0</v>
      </c>
      <c r="AC699" s="16"/>
      <c r="AD699" s="68"/>
      <c r="AE699" s="23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</row>
    <row r="700" spans="1:84" s="2" customFormat="1" ht="20" x14ac:dyDescent="0.2">
      <c r="A700" s="17" t="s">
        <v>3921</v>
      </c>
      <c r="B700" s="17" t="s">
        <v>45</v>
      </c>
      <c r="C700" s="17">
        <v>2025</v>
      </c>
      <c r="D700" s="17" t="str">
        <f t="array" ref="D700">_xlfn.SWITCH(E700,"Bagor","35.18.14","Sukomoro",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0" s="16" t="s">
        <v>29</v>
      </c>
      <c r="F700" s="33" t="s">
        <v>1894</v>
      </c>
      <c r="G700" s="33" t="s">
        <v>1902</v>
      </c>
      <c r="H700" s="16" t="s">
        <v>47</v>
      </c>
      <c r="I700" s="16">
        <v>4</v>
      </c>
      <c r="J700" s="16">
        <v>0</v>
      </c>
      <c r="K700" s="16">
        <f t="shared" si="12"/>
        <v>4</v>
      </c>
      <c r="L700" s="38">
        <v>150000000</v>
      </c>
      <c r="M700" s="17" t="s">
        <v>1518</v>
      </c>
      <c r="N700" s="67">
        <v>500</v>
      </c>
      <c r="O700" s="16" t="s">
        <v>69</v>
      </c>
      <c r="P700" s="30">
        <v>300000000</v>
      </c>
      <c r="Q700" s="33" t="s">
        <v>1680</v>
      </c>
      <c r="R700" s="38">
        <v>120</v>
      </c>
      <c r="S700" s="16" t="s">
        <v>69</v>
      </c>
      <c r="T700" s="30">
        <v>168000000</v>
      </c>
      <c r="U700" s="16" t="s">
        <v>22</v>
      </c>
      <c r="V700" s="20" t="s">
        <v>1889</v>
      </c>
      <c r="W700" s="16"/>
      <c r="X700" s="16"/>
      <c r="Y700" s="16">
        <v>65</v>
      </c>
      <c r="Z700" s="16">
        <v>35</v>
      </c>
      <c r="AA700" s="16">
        <v>0</v>
      </c>
      <c r="AB700" s="16">
        <v>0</v>
      </c>
      <c r="AC700" s="16"/>
      <c r="AD700" s="68"/>
      <c r="AE700" s="23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</row>
    <row r="701" spans="1:84" s="2" customFormat="1" ht="20" x14ac:dyDescent="0.2">
      <c r="A701" s="17" t="s">
        <v>3921</v>
      </c>
      <c r="B701" s="17" t="s">
        <v>45</v>
      </c>
      <c r="C701" s="17">
        <v>2025</v>
      </c>
      <c r="D701" s="17" t="str">
        <f t="array" ref="D701">_xlfn.SWITCH(E701,"Bagor","35.18.14","Sukomoro",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1" s="16" t="s">
        <v>29</v>
      </c>
      <c r="F701" s="33" t="s">
        <v>1894</v>
      </c>
      <c r="G701" s="33" t="s">
        <v>1903</v>
      </c>
      <c r="H701" s="16" t="s">
        <v>47</v>
      </c>
      <c r="I701" s="16">
        <v>4</v>
      </c>
      <c r="J701" s="16">
        <v>0</v>
      </c>
      <c r="K701" s="16">
        <f t="shared" si="12"/>
        <v>4</v>
      </c>
      <c r="L701" s="38">
        <v>50000000</v>
      </c>
      <c r="M701" s="17" t="s">
        <v>1518</v>
      </c>
      <c r="N701" s="67">
        <v>30</v>
      </c>
      <c r="O701" s="16" t="s">
        <v>69</v>
      </c>
      <c r="P701" s="30">
        <v>120000000</v>
      </c>
      <c r="Q701" s="33" t="s">
        <v>1680</v>
      </c>
      <c r="R701" s="38">
        <v>20</v>
      </c>
      <c r="S701" s="16" t="s">
        <v>69</v>
      </c>
      <c r="T701" s="30">
        <v>90000000</v>
      </c>
      <c r="U701" s="16" t="s">
        <v>22</v>
      </c>
      <c r="V701" s="20" t="s">
        <v>1677</v>
      </c>
      <c r="W701" s="16"/>
      <c r="X701" s="16"/>
      <c r="Y701" s="16">
        <v>60</v>
      </c>
      <c r="Z701" s="16">
        <v>40</v>
      </c>
      <c r="AA701" s="16">
        <v>0</v>
      </c>
      <c r="AB701" s="16">
        <v>0</v>
      </c>
      <c r="AC701" s="16"/>
      <c r="AD701" s="68"/>
      <c r="AE701" s="23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</row>
    <row r="702" spans="1:84" s="2" customFormat="1" x14ac:dyDescent="0.2">
      <c r="A702" s="17" t="s">
        <v>3921</v>
      </c>
      <c r="B702" s="17" t="s">
        <v>45</v>
      </c>
      <c r="C702" s="17">
        <v>2025</v>
      </c>
      <c r="D702" s="17" t="str">
        <f t="array" ref="D702">_xlfn.SWITCH(E702,"Bagor","35.18.14","Sukomoro",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2" s="16" t="s">
        <v>29</v>
      </c>
      <c r="F702" s="33" t="s">
        <v>1878</v>
      </c>
      <c r="G702" s="33" t="s">
        <v>1904</v>
      </c>
      <c r="H702" s="16" t="s">
        <v>31</v>
      </c>
      <c r="I702" s="16">
        <v>2</v>
      </c>
      <c r="J702" s="16">
        <v>0</v>
      </c>
      <c r="K702" s="16">
        <f t="shared" si="12"/>
        <v>2</v>
      </c>
      <c r="L702" s="38">
        <v>15000000</v>
      </c>
      <c r="M702" s="17" t="s">
        <v>1518</v>
      </c>
      <c r="N702" s="67">
        <v>24</v>
      </c>
      <c r="O702" s="16" t="s">
        <v>69</v>
      </c>
      <c r="P702" s="30">
        <v>38400000</v>
      </c>
      <c r="Q702" s="33" t="s">
        <v>1680</v>
      </c>
      <c r="R702" s="38">
        <v>8</v>
      </c>
      <c r="S702" s="16" t="s">
        <v>69</v>
      </c>
      <c r="T702" s="30">
        <v>17600000</v>
      </c>
      <c r="U702" s="16" t="s">
        <v>22</v>
      </c>
      <c r="V702" s="20" t="s">
        <v>1889</v>
      </c>
      <c r="W702" s="16"/>
      <c r="X702" s="16"/>
      <c r="Y702" s="16">
        <v>70</v>
      </c>
      <c r="Z702" s="16">
        <v>30</v>
      </c>
      <c r="AA702" s="16">
        <v>0</v>
      </c>
      <c r="AB702" s="16">
        <v>0</v>
      </c>
      <c r="AC702" s="16"/>
      <c r="AD702" s="68"/>
      <c r="AE702" s="23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</row>
    <row r="703" spans="1:84" s="2" customFormat="1" x14ac:dyDescent="0.2">
      <c r="A703" s="17" t="s">
        <v>3921</v>
      </c>
      <c r="B703" s="17" t="s">
        <v>45</v>
      </c>
      <c r="C703" s="17">
        <v>2025</v>
      </c>
      <c r="D703" s="17" t="str">
        <f t="array" ref="D703">_xlfn.SWITCH(E703,"Bagor","35.18.14","Sukomoro",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3" s="16" t="s">
        <v>29</v>
      </c>
      <c r="F703" s="33" t="s">
        <v>1878</v>
      </c>
      <c r="G703" s="33" t="s">
        <v>1905</v>
      </c>
      <c r="H703" s="16" t="s">
        <v>47</v>
      </c>
      <c r="I703" s="16">
        <v>3</v>
      </c>
      <c r="J703" s="16">
        <v>0</v>
      </c>
      <c r="K703" s="16">
        <f t="shared" si="12"/>
        <v>3</v>
      </c>
      <c r="L703" s="38">
        <v>22700000</v>
      </c>
      <c r="M703" s="17" t="s">
        <v>1518</v>
      </c>
      <c r="N703" s="67">
        <v>25</v>
      </c>
      <c r="O703" s="16" t="s">
        <v>69</v>
      </c>
      <c r="P703" s="30">
        <v>45000000</v>
      </c>
      <c r="Q703" s="33" t="s">
        <v>1680</v>
      </c>
      <c r="R703" s="38">
        <v>20</v>
      </c>
      <c r="S703" s="16" t="s">
        <v>69</v>
      </c>
      <c r="T703" s="30">
        <v>20000000</v>
      </c>
      <c r="U703" s="16" t="s">
        <v>22</v>
      </c>
      <c r="V703" s="20" t="s">
        <v>1889</v>
      </c>
      <c r="W703" s="16"/>
      <c r="X703" s="16"/>
      <c r="Y703" s="16">
        <v>35</v>
      </c>
      <c r="Z703" s="16">
        <v>40</v>
      </c>
      <c r="AA703" s="16">
        <v>25</v>
      </c>
      <c r="AB703" s="16">
        <v>0</v>
      </c>
      <c r="AC703" s="16"/>
      <c r="AD703" s="68"/>
      <c r="AE703" s="23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</row>
    <row r="704" spans="1:84" s="2" customFormat="1" x14ac:dyDescent="0.2">
      <c r="A704" s="17" t="s">
        <v>3921</v>
      </c>
      <c r="B704" s="17" t="s">
        <v>45</v>
      </c>
      <c r="C704" s="17">
        <v>2025</v>
      </c>
      <c r="D704" s="17" t="str">
        <f t="array" ref="D704">_xlfn.SWITCH(E704,"Bagor","35.18.14","Sukomoro",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4" s="16" t="s">
        <v>29</v>
      </c>
      <c r="F704" s="33" t="s">
        <v>1878</v>
      </c>
      <c r="G704" s="33" t="s">
        <v>1906</v>
      </c>
      <c r="H704" s="16" t="s">
        <v>47</v>
      </c>
      <c r="I704" s="16">
        <v>2</v>
      </c>
      <c r="J704" s="16">
        <v>0</v>
      </c>
      <c r="K704" s="16">
        <f t="shared" si="12"/>
        <v>2</v>
      </c>
      <c r="L704" s="38">
        <v>41700000</v>
      </c>
      <c r="M704" s="17" t="s">
        <v>1518</v>
      </c>
      <c r="N704" s="67">
        <f>6*12</f>
        <v>72</v>
      </c>
      <c r="O704" s="16" t="s">
        <v>69</v>
      </c>
      <c r="P704" s="30">
        <v>93600000</v>
      </c>
      <c r="Q704" s="33" t="s">
        <v>1680</v>
      </c>
      <c r="R704" s="38">
        <v>72</v>
      </c>
      <c r="S704" s="16" t="s">
        <v>69</v>
      </c>
      <c r="T704" s="30">
        <v>57600000</v>
      </c>
      <c r="U704" s="16" t="s">
        <v>22</v>
      </c>
      <c r="V704" s="20" t="s">
        <v>1889</v>
      </c>
      <c r="W704" s="16"/>
      <c r="X704" s="16"/>
      <c r="Y704" s="16">
        <v>30</v>
      </c>
      <c r="Z704" s="16">
        <v>30</v>
      </c>
      <c r="AA704" s="16">
        <v>40</v>
      </c>
      <c r="AB704" s="16">
        <v>0</v>
      </c>
      <c r="AC704" s="16"/>
      <c r="AD704" s="68"/>
      <c r="AE704" s="23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</row>
    <row r="705" spans="1:84" s="2" customFormat="1" x14ac:dyDescent="0.2">
      <c r="A705" s="17" t="s">
        <v>3921</v>
      </c>
      <c r="B705" s="17" t="s">
        <v>45</v>
      </c>
      <c r="C705" s="17">
        <v>2025</v>
      </c>
      <c r="D705" s="17" t="str">
        <f t="array" ref="D705">_xlfn.SWITCH(E705,"Bagor","35.18.14","Sukomoro",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5" s="16" t="s">
        <v>29</v>
      </c>
      <c r="F705" s="33" t="s">
        <v>1878</v>
      </c>
      <c r="G705" s="33" t="s">
        <v>1907</v>
      </c>
      <c r="H705" s="16" t="s">
        <v>31</v>
      </c>
      <c r="I705" s="16">
        <v>2</v>
      </c>
      <c r="J705" s="16">
        <v>0</v>
      </c>
      <c r="K705" s="16">
        <f t="shared" si="12"/>
        <v>2</v>
      </c>
      <c r="L705" s="38">
        <v>20000000</v>
      </c>
      <c r="M705" s="17" t="s">
        <v>1518</v>
      </c>
      <c r="N705" s="67">
        <v>120</v>
      </c>
      <c r="O705" s="16" t="s">
        <v>69</v>
      </c>
      <c r="P705" s="30">
        <v>84000000</v>
      </c>
      <c r="Q705" s="33" t="s">
        <v>1680</v>
      </c>
      <c r="R705" s="38">
        <v>35</v>
      </c>
      <c r="S705" s="16" t="s">
        <v>69</v>
      </c>
      <c r="T705" s="30">
        <v>61250000</v>
      </c>
      <c r="U705" s="16" t="s">
        <v>22</v>
      </c>
      <c r="V705" s="20" t="s">
        <v>1889</v>
      </c>
      <c r="W705" s="16"/>
      <c r="X705" s="16"/>
      <c r="Y705" s="16">
        <v>60</v>
      </c>
      <c r="Z705" s="16">
        <v>40</v>
      </c>
      <c r="AA705" s="16">
        <v>0</v>
      </c>
      <c r="AB705" s="16">
        <v>0</v>
      </c>
      <c r="AC705" s="16"/>
      <c r="AD705" s="68"/>
      <c r="AE705" s="23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</row>
    <row r="706" spans="1:84" s="2" customFormat="1" x14ac:dyDescent="0.2">
      <c r="A706" s="17" t="s">
        <v>3921</v>
      </c>
      <c r="B706" s="17" t="s">
        <v>45</v>
      </c>
      <c r="C706" s="17">
        <v>2025</v>
      </c>
      <c r="D706" s="17" t="str">
        <f t="array" ref="D706">_xlfn.SWITCH(E706,"Bagor","35.18.14","Sukomoro",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6" s="16" t="s">
        <v>29</v>
      </c>
      <c r="F706" s="33" t="s">
        <v>1878</v>
      </c>
      <c r="G706" s="33" t="s">
        <v>1908</v>
      </c>
      <c r="H706" s="16" t="s">
        <v>47</v>
      </c>
      <c r="I706" s="16">
        <v>2</v>
      </c>
      <c r="J706" s="16">
        <v>0</v>
      </c>
      <c r="K706" s="16">
        <f t="shared" ref="K706:K769" si="13">I706+J706</f>
        <v>2</v>
      </c>
      <c r="L706" s="38">
        <v>10000000</v>
      </c>
      <c r="M706" s="17" t="s">
        <v>1518</v>
      </c>
      <c r="N706" s="67">
        <v>48</v>
      </c>
      <c r="O706" s="16" t="s">
        <v>69</v>
      </c>
      <c r="P706" s="30">
        <v>57600000</v>
      </c>
      <c r="Q706" s="33" t="s">
        <v>1680</v>
      </c>
      <c r="R706" s="38">
        <v>36</v>
      </c>
      <c r="S706" s="16" t="s">
        <v>69</v>
      </c>
      <c r="T706" s="30">
        <v>28800000</v>
      </c>
      <c r="U706" s="16" t="s">
        <v>22</v>
      </c>
      <c r="V706" s="20" t="s">
        <v>1889</v>
      </c>
      <c r="W706" s="16"/>
      <c r="X706" s="16"/>
      <c r="Y706" s="16">
        <v>60</v>
      </c>
      <c r="Z706" s="16">
        <v>40</v>
      </c>
      <c r="AA706" s="16">
        <v>0</v>
      </c>
      <c r="AB706" s="16">
        <v>0</v>
      </c>
      <c r="AC706" s="16"/>
      <c r="AD706" s="68"/>
      <c r="AE706" s="23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</row>
    <row r="707" spans="1:84" s="2" customFormat="1" x14ac:dyDescent="0.2">
      <c r="A707" s="17" t="s">
        <v>3921</v>
      </c>
      <c r="B707" s="17" t="s">
        <v>45</v>
      </c>
      <c r="C707" s="17">
        <v>2025</v>
      </c>
      <c r="D707" s="17" t="str">
        <f t="array" ref="D707">_xlfn.SWITCH(E707,"Bagor","35.18.14","Sukomoro",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07" s="16" t="s">
        <v>162</v>
      </c>
      <c r="F707" s="33" t="s">
        <v>1909</v>
      </c>
      <c r="G707" s="33" t="s">
        <v>1910</v>
      </c>
      <c r="H707" s="16" t="s">
        <v>31</v>
      </c>
      <c r="I707" s="16">
        <v>2</v>
      </c>
      <c r="J707" s="16">
        <v>11</v>
      </c>
      <c r="K707" s="16">
        <f t="shared" si="13"/>
        <v>13</v>
      </c>
      <c r="L707" s="38">
        <v>25000000</v>
      </c>
      <c r="M707" s="17" t="s">
        <v>1323</v>
      </c>
      <c r="N707" s="67">
        <f>1.5*12*26</f>
        <v>468</v>
      </c>
      <c r="O707" s="16" t="s">
        <v>1238</v>
      </c>
      <c r="P707" s="30">
        <v>109980000</v>
      </c>
      <c r="Q707" s="33" t="s">
        <v>1239</v>
      </c>
      <c r="R707" s="38">
        <f>1*12*26</f>
        <v>312</v>
      </c>
      <c r="S707" s="16" t="s">
        <v>1238</v>
      </c>
      <c r="T707" s="30">
        <v>60840000</v>
      </c>
      <c r="U707" s="16" t="s">
        <v>22</v>
      </c>
      <c r="V707" s="20">
        <v>0</v>
      </c>
      <c r="W707" s="16">
        <v>0</v>
      </c>
      <c r="X707" s="16">
        <v>0</v>
      </c>
      <c r="Y707" s="16">
        <v>40</v>
      </c>
      <c r="Z707" s="16">
        <v>30</v>
      </c>
      <c r="AA707" s="16">
        <v>30</v>
      </c>
      <c r="AB707" s="16">
        <v>0</v>
      </c>
      <c r="AC707" s="16"/>
      <c r="AD707" s="68"/>
      <c r="AE707" s="23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</row>
    <row r="708" spans="1:84" s="2" customFormat="1" x14ac:dyDescent="0.2">
      <c r="A708" s="17" t="s">
        <v>3921</v>
      </c>
      <c r="B708" s="17" t="s">
        <v>45</v>
      </c>
      <c r="C708" s="17">
        <v>2025</v>
      </c>
      <c r="D708" s="17" t="str">
        <f t="array" ref="D708">_xlfn.SWITCH(E708,"Bagor","35.18.14","Sukomoro",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08" s="16" t="s">
        <v>162</v>
      </c>
      <c r="F708" s="33" t="s">
        <v>1909</v>
      </c>
      <c r="G708" s="33" t="s">
        <v>1911</v>
      </c>
      <c r="H708" s="16" t="s">
        <v>31</v>
      </c>
      <c r="I708" s="16">
        <v>2</v>
      </c>
      <c r="J708" s="16">
        <v>0</v>
      </c>
      <c r="K708" s="16">
        <f t="shared" si="13"/>
        <v>2</v>
      </c>
      <c r="L708" s="38">
        <v>20000000</v>
      </c>
      <c r="M708" s="17" t="s">
        <v>1912</v>
      </c>
      <c r="N708" s="67">
        <f>2*12*26</f>
        <v>624</v>
      </c>
      <c r="O708" s="16" t="s">
        <v>1130</v>
      </c>
      <c r="P708" s="30">
        <v>37440000</v>
      </c>
      <c r="Q708" s="33" t="s">
        <v>1913</v>
      </c>
      <c r="R708" s="38">
        <f>3*12*26</f>
        <v>936</v>
      </c>
      <c r="S708" s="16" t="s">
        <v>422</v>
      </c>
      <c r="T708" s="30">
        <v>8892000</v>
      </c>
      <c r="U708" s="16" t="s">
        <v>22</v>
      </c>
      <c r="V708" s="20">
        <v>0</v>
      </c>
      <c r="W708" s="16">
        <v>0</v>
      </c>
      <c r="X708" s="16">
        <v>0</v>
      </c>
      <c r="Y708" s="16">
        <v>80</v>
      </c>
      <c r="Z708" s="16">
        <v>20</v>
      </c>
      <c r="AA708" s="16">
        <v>0</v>
      </c>
      <c r="AB708" s="16">
        <v>0</v>
      </c>
      <c r="AC708" s="16"/>
      <c r="AD708" s="68"/>
      <c r="AE708" s="23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</row>
    <row r="709" spans="1:84" s="2" customFormat="1" x14ac:dyDescent="0.2">
      <c r="A709" s="17" t="s">
        <v>3921</v>
      </c>
      <c r="B709" s="17" t="s">
        <v>45</v>
      </c>
      <c r="C709" s="17">
        <v>2025</v>
      </c>
      <c r="D709" s="17" t="str">
        <f t="array" ref="D709">_xlfn.SWITCH(E709,"Bagor","35.18.14","Sukomoro",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09" s="16" t="s">
        <v>71</v>
      </c>
      <c r="F709" s="33" t="s">
        <v>1705</v>
      </c>
      <c r="G709" s="33" t="s">
        <v>1914</v>
      </c>
      <c r="H709" s="16" t="s">
        <v>31</v>
      </c>
      <c r="I709" s="16">
        <v>4</v>
      </c>
      <c r="J709" s="16">
        <v>0</v>
      </c>
      <c r="K709" s="16">
        <f t="shared" si="13"/>
        <v>4</v>
      </c>
      <c r="L709" s="38">
        <v>75000000</v>
      </c>
      <c r="M709" s="17" t="s">
        <v>354</v>
      </c>
      <c r="N709" s="67">
        <f>25*12*26</f>
        <v>7800</v>
      </c>
      <c r="O709" s="16" t="s">
        <v>422</v>
      </c>
      <c r="P709" s="30">
        <v>117000000</v>
      </c>
      <c r="Q709" s="33" t="s">
        <v>1707</v>
      </c>
      <c r="R709" s="38">
        <v>500</v>
      </c>
      <c r="S709" s="16" t="s">
        <v>962</v>
      </c>
      <c r="T709" s="30">
        <v>60000000</v>
      </c>
      <c r="U709" s="16" t="s">
        <v>22</v>
      </c>
      <c r="V709" s="20" t="s">
        <v>57</v>
      </c>
      <c r="W709" s="16">
        <v>230</v>
      </c>
      <c r="X709" s="16" t="s">
        <v>51</v>
      </c>
      <c r="Y709" s="16">
        <v>80</v>
      </c>
      <c r="Z709" s="16">
        <v>20</v>
      </c>
      <c r="AA709" s="16">
        <v>0</v>
      </c>
      <c r="AB709" s="16">
        <v>0</v>
      </c>
      <c r="AC709" s="16"/>
      <c r="AD709" s="68"/>
      <c r="AE709" s="23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</row>
    <row r="710" spans="1:84" s="2" customFormat="1" x14ac:dyDescent="0.2">
      <c r="A710" s="17" t="s">
        <v>3921</v>
      </c>
      <c r="B710" s="17" t="s">
        <v>45</v>
      </c>
      <c r="C710" s="17">
        <v>2025</v>
      </c>
      <c r="D710" s="17" t="str">
        <f t="array" ref="D710">_xlfn.SWITCH(E710,"Bagor","35.18.14","Sukomoro",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0" s="16" t="s">
        <v>71</v>
      </c>
      <c r="F710" s="33" t="s">
        <v>1705</v>
      </c>
      <c r="G710" s="33" t="s">
        <v>1915</v>
      </c>
      <c r="H710" s="16" t="s">
        <v>31</v>
      </c>
      <c r="I710" s="16">
        <v>2</v>
      </c>
      <c r="J710" s="16">
        <v>0</v>
      </c>
      <c r="K710" s="16">
        <f t="shared" si="13"/>
        <v>2</v>
      </c>
      <c r="L710" s="38">
        <v>6000000</v>
      </c>
      <c r="M710" s="17" t="s">
        <v>354</v>
      </c>
      <c r="N710" s="67">
        <f>25*12*8</f>
        <v>2400</v>
      </c>
      <c r="O710" s="16" t="s">
        <v>422</v>
      </c>
      <c r="P710" s="30">
        <v>40800000</v>
      </c>
      <c r="Q710" s="33" t="s">
        <v>1707</v>
      </c>
      <c r="R710" s="38">
        <v>1</v>
      </c>
      <c r="S710" s="16" t="s">
        <v>962</v>
      </c>
      <c r="T710" s="30">
        <v>12000000</v>
      </c>
      <c r="U710" s="16" t="s">
        <v>22</v>
      </c>
      <c r="V710" s="20">
        <v>0</v>
      </c>
      <c r="W710" s="16">
        <v>0</v>
      </c>
      <c r="X710" s="16">
        <v>0</v>
      </c>
      <c r="Y710" s="16">
        <v>80</v>
      </c>
      <c r="Z710" s="16">
        <v>20</v>
      </c>
      <c r="AA710" s="16">
        <v>0</v>
      </c>
      <c r="AB710" s="16">
        <v>0</v>
      </c>
      <c r="AC710" s="16"/>
      <c r="AD710" s="68"/>
      <c r="AE710" s="23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</row>
    <row r="711" spans="1:84" s="2" customFormat="1" x14ac:dyDescent="0.2">
      <c r="A711" s="17" t="s">
        <v>3921</v>
      </c>
      <c r="B711" s="17" t="s">
        <v>45</v>
      </c>
      <c r="C711" s="17">
        <v>2025</v>
      </c>
      <c r="D711" s="17" t="str">
        <f t="array" ref="D711">_xlfn.SWITCH(E711,"Bagor","35.18.14","Sukomoro",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1" s="16" t="s">
        <v>71</v>
      </c>
      <c r="F711" s="33" t="s">
        <v>1916</v>
      </c>
      <c r="G711" s="33" t="s">
        <v>1917</v>
      </c>
      <c r="H711" s="16" t="s">
        <v>31</v>
      </c>
      <c r="I711" s="16">
        <v>3</v>
      </c>
      <c r="J711" s="16">
        <v>4</v>
      </c>
      <c r="K711" s="16">
        <f t="shared" si="13"/>
        <v>7</v>
      </c>
      <c r="L711" s="38">
        <v>20000000</v>
      </c>
      <c r="M711" s="17" t="s">
        <v>1918</v>
      </c>
      <c r="N711" s="67">
        <f>12*12*14</f>
        <v>2016</v>
      </c>
      <c r="O711" s="16" t="s">
        <v>422</v>
      </c>
      <c r="P711" s="30">
        <v>110880000</v>
      </c>
      <c r="Q711" s="33" t="s">
        <v>1919</v>
      </c>
      <c r="R711" s="38">
        <f>23*12*7</f>
        <v>1932</v>
      </c>
      <c r="S711" s="16" t="s">
        <v>422</v>
      </c>
      <c r="T711" s="30">
        <v>23184000</v>
      </c>
      <c r="U711" s="16" t="s">
        <v>22</v>
      </c>
      <c r="V711" s="20">
        <v>0</v>
      </c>
      <c r="W711" s="16">
        <v>0</v>
      </c>
      <c r="X711" s="16">
        <v>0</v>
      </c>
      <c r="Y711" s="16">
        <v>50</v>
      </c>
      <c r="Z711" s="16">
        <v>30</v>
      </c>
      <c r="AA711" s="16">
        <v>20</v>
      </c>
      <c r="AB711" s="16">
        <v>0</v>
      </c>
      <c r="AC711" s="16"/>
      <c r="AD711" s="68"/>
      <c r="AE711" s="23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</row>
    <row r="712" spans="1:84" s="2" customFormat="1" x14ac:dyDescent="0.2">
      <c r="A712" s="17" t="s">
        <v>3921</v>
      </c>
      <c r="B712" s="17" t="s">
        <v>45</v>
      </c>
      <c r="C712" s="17">
        <v>2025</v>
      </c>
      <c r="D712" s="17" t="str">
        <f t="array" ref="D712">_xlfn.SWITCH(E712,"Bagor","35.18.14","Sukomoro",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2" s="16" t="s">
        <v>71</v>
      </c>
      <c r="F712" s="33" t="s">
        <v>1916</v>
      </c>
      <c r="G712" s="33" t="s">
        <v>1920</v>
      </c>
      <c r="H712" s="16" t="s">
        <v>31</v>
      </c>
      <c r="I712" s="16">
        <v>0</v>
      </c>
      <c r="J712" s="16">
        <v>10</v>
      </c>
      <c r="K712" s="16">
        <f t="shared" si="13"/>
        <v>10</v>
      </c>
      <c r="L712" s="38">
        <v>10000000</v>
      </c>
      <c r="M712" s="17" t="s">
        <v>1918</v>
      </c>
      <c r="N712" s="67">
        <f>15*12*14</f>
        <v>2520</v>
      </c>
      <c r="O712" s="16" t="s">
        <v>422</v>
      </c>
      <c r="P712" s="30">
        <v>136080000</v>
      </c>
      <c r="Q712" s="33" t="s">
        <v>1919</v>
      </c>
      <c r="R712" s="38">
        <f>24*12*7</f>
        <v>2016</v>
      </c>
      <c r="S712" s="16" t="s">
        <v>422</v>
      </c>
      <c r="T712" s="30">
        <v>20160000</v>
      </c>
      <c r="U712" s="16" t="s">
        <v>22</v>
      </c>
      <c r="V712" s="20">
        <v>0</v>
      </c>
      <c r="W712" s="16">
        <v>0</v>
      </c>
      <c r="X712" s="16">
        <v>0</v>
      </c>
      <c r="Y712" s="16">
        <v>80</v>
      </c>
      <c r="Z712" s="16">
        <v>20</v>
      </c>
      <c r="AA712" s="16">
        <v>0</v>
      </c>
      <c r="AB712" s="16">
        <v>0</v>
      </c>
      <c r="AC712" s="16"/>
      <c r="AD712" s="68"/>
      <c r="AE712" s="23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</row>
    <row r="713" spans="1:84" s="2" customFormat="1" x14ac:dyDescent="0.2">
      <c r="A713" s="17" t="s">
        <v>3921</v>
      </c>
      <c r="B713" s="17" t="s">
        <v>45</v>
      </c>
      <c r="C713" s="17">
        <v>2025</v>
      </c>
      <c r="D713" s="17" t="str">
        <f t="array" ref="D713">_xlfn.SWITCH(E713,"Bagor","35.18.14","Sukomoro",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3" s="16" t="s">
        <v>71</v>
      </c>
      <c r="F713" s="33" t="s">
        <v>1705</v>
      </c>
      <c r="G713" s="33" t="s">
        <v>1921</v>
      </c>
      <c r="H713" s="16" t="s">
        <v>31</v>
      </c>
      <c r="I713" s="16">
        <v>1</v>
      </c>
      <c r="J713" s="16">
        <v>0</v>
      </c>
      <c r="K713" s="16">
        <f t="shared" si="13"/>
        <v>1</v>
      </c>
      <c r="L713" s="38">
        <v>60000000</v>
      </c>
      <c r="M713" s="17" t="s">
        <v>354</v>
      </c>
      <c r="N713" s="67">
        <f>16*4*12</f>
        <v>768</v>
      </c>
      <c r="O713" s="16" t="s">
        <v>422</v>
      </c>
      <c r="P713" s="30">
        <v>115200000</v>
      </c>
      <c r="Q713" s="33" t="s">
        <v>1707</v>
      </c>
      <c r="R713" s="38">
        <v>0.5</v>
      </c>
      <c r="S713" s="16" t="s">
        <v>962</v>
      </c>
      <c r="T713" s="30">
        <v>70000000</v>
      </c>
      <c r="U713" s="16" t="s">
        <v>22</v>
      </c>
      <c r="V713" s="20">
        <v>0</v>
      </c>
      <c r="W713" s="16">
        <v>0</v>
      </c>
      <c r="X713" s="16">
        <v>0</v>
      </c>
      <c r="Y713" s="16">
        <v>75</v>
      </c>
      <c r="Z713" s="16">
        <v>25</v>
      </c>
      <c r="AA713" s="16">
        <v>0</v>
      </c>
      <c r="AB713" s="16">
        <v>0</v>
      </c>
      <c r="AC713" s="16"/>
      <c r="AD713" s="68"/>
      <c r="AE713" s="23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</row>
    <row r="714" spans="1:84" s="2" customFormat="1" x14ac:dyDescent="0.2">
      <c r="A714" s="17" t="s">
        <v>3921</v>
      </c>
      <c r="B714" s="17" t="s">
        <v>45</v>
      </c>
      <c r="C714" s="17">
        <v>2025</v>
      </c>
      <c r="D714" s="17" t="str">
        <f t="array" ref="D714">_xlfn.SWITCH(E714,"Bagor","35.18.14","Sukomoro",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14" s="16" t="s">
        <v>114</v>
      </c>
      <c r="F714" s="33" t="s">
        <v>1922</v>
      </c>
      <c r="G714" s="33" t="s">
        <v>1923</v>
      </c>
      <c r="H714" s="16" t="s">
        <v>31</v>
      </c>
      <c r="I714" s="16">
        <v>1</v>
      </c>
      <c r="J714" s="16">
        <v>0</v>
      </c>
      <c r="K714" s="16">
        <f t="shared" si="13"/>
        <v>1</v>
      </c>
      <c r="L714" s="38">
        <v>600000</v>
      </c>
      <c r="M714" s="17" t="s">
        <v>285</v>
      </c>
      <c r="N714" s="67">
        <f>1000*2</f>
        <v>2000</v>
      </c>
      <c r="O714" s="16" t="s">
        <v>1130</v>
      </c>
      <c r="P714" s="30">
        <v>1200000</v>
      </c>
      <c r="Q714" s="33" t="s">
        <v>286</v>
      </c>
      <c r="R714" s="38">
        <v>750</v>
      </c>
      <c r="S714" s="16" t="s">
        <v>69</v>
      </c>
      <c r="T714" s="30">
        <v>750000</v>
      </c>
      <c r="U714" s="16" t="s">
        <v>22</v>
      </c>
      <c r="V714" s="20" t="s">
        <v>57</v>
      </c>
      <c r="W714" s="16">
        <v>470</v>
      </c>
      <c r="X714" s="16" t="s">
        <v>51</v>
      </c>
      <c r="Y714" s="16">
        <v>25</v>
      </c>
      <c r="Z714" s="16">
        <v>35</v>
      </c>
      <c r="AA714" s="16">
        <v>40</v>
      </c>
      <c r="AB714" s="16">
        <v>0</v>
      </c>
      <c r="AC714" s="16"/>
      <c r="AD714" s="68"/>
      <c r="AE714" s="23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</row>
    <row r="715" spans="1:84" s="2" customFormat="1" x14ac:dyDescent="0.2">
      <c r="A715" s="17" t="s">
        <v>3921</v>
      </c>
      <c r="B715" s="17" t="s">
        <v>45</v>
      </c>
      <c r="C715" s="17">
        <v>2025</v>
      </c>
      <c r="D715" s="17" t="str">
        <f t="array" ref="D715">_xlfn.SWITCH(E715,"Bagor","35.18.14","Sukomoro",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15" s="16" t="s">
        <v>114</v>
      </c>
      <c r="F715" s="33" t="s">
        <v>1924</v>
      </c>
      <c r="G715" s="33" t="s">
        <v>1925</v>
      </c>
      <c r="H715" s="16" t="s">
        <v>31</v>
      </c>
      <c r="I715" s="16">
        <v>3</v>
      </c>
      <c r="J715" s="16">
        <v>0</v>
      </c>
      <c r="K715" s="16">
        <f t="shared" si="13"/>
        <v>3</v>
      </c>
      <c r="L715" s="38">
        <v>24000000</v>
      </c>
      <c r="M715" s="17" t="s">
        <v>285</v>
      </c>
      <c r="N715" s="67">
        <f>6000*12</f>
        <v>72000</v>
      </c>
      <c r="O715" s="16" t="s">
        <v>1130</v>
      </c>
      <c r="P715" s="30">
        <v>43200000</v>
      </c>
      <c r="Q715" s="33" t="s">
        <v>286</v>
      </c>
      <c r="R715" s="38">
        <v>2500</v>
      </c>
      <c r="S715" s="16" t="s">
        <v>69</v>
      </c>
      <c r="T715" s="30">
        <v>25000000</v>
      </c>
      <c r="U715" s="16" t="s">
        <v>22</v>
      </c>
      <c r="V715" s="20" t="s">
        <v>57</v>
      </c>
      <c r="W715" s="16">
        <v>1200</v>
      </c>
      <c r="X715" s="16" t="s">
        <v>51</v>
      </c>
      <c r="Y715" s="16">
        <v>65</v>
      </c>
      <c r="Z715" s="16">
        <v>35</v>
      </c>
      <c r="AA715" s="16">
        <v>0</v>
      </c>
      <c r="AB715" s="16">
        <v>0</v>
      </c>
      <c r="AC715" s="16"/>
      <c r="AD715" s="68"/>
      <c r="AE715" s="23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</row>
    <row r="716" spans="1:84" s="2" customFormat="1" x14ac:dyDescent="0.2">
      <c r="A716" s="17" t="s">
        <v>3921</v>
      </c>
      <c r="B716" s="17" t="s">
        <v>45</v>
      </c>
      <c r="C716" s="17">
        <v>2025</v>
      </c>
      <c r="D716" s="17" t="str">
        <f t="array" ref="D716">_xlfn.SWITCH(E716,"Bagor","35.18.14","Sukomoro",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16" s="16" t="s">
        <v>114</v>
      </c>
      <c r="F716" s="33" t="s">
        <v>1924</v>
      </c>
      <c r="G716" s="33" t="s">
        <v>1926</v>
      </c>
      <c r="H716" s="16" t="s">
        <v>31</v>
      </c>
      <c r="I716" s="16">
        <v>1</v>
      </c>
      <c r="J716" s="16">
        <v>2</v>
      </c>
      <c r="K716" s="16">
        <f t="shared" si="13"/>
        <v>3</v>
      </c>
      <c r="L716" s="38">
        <v>5000000</v>
      </c>
      <c r="M716" s="17" t="s">
        <v>285</v>
      </c>
      <c r="N716" s="67">
        <f>7000*12</f>
        <v>84000</v>
      </c>
      <c r="O716" s="16" t="s">
        <v>1130</v>
      </c>
      <c r="P716" s="30">
        <v>50400000</v>
      </c>
      <c r="Q716" s="33" t="s">
        <v>286</v>
      </c>
      <c r="R716" s="38">
        <v>9000</v>
      </c>
      <c r="S716" s="16" t="s">
        <v>69</v>
      </c>
      <c r="T716" s="30">
        <v>13500000</v>
      </c>
      <c r="U716" s="16" t="s">
        <v>22</v>
      </c>
      <c r="V716" s="20" t="s">
        <v>57</v>
      </c>
      <c r="W716" s="16">
        <v>5350</v>
      </c>
      <c r="X716" s="16" t="s">
        <v>51</v>
      </c>
      <c r="Y716" s="16">
        <v>55</v>
      </c>
      <c r="Z716" s="16">
        <v>45</v>
      </c>
      <c r="AA716" s="16">
        <v>0</v>
      </c>
      <c r="AB716" s="16">
        <v>0</v>
      </c>
      <c r="AC716" s="16"/>
      <c r="AD716" s="68"/>
      <c r="AE716" s="23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</row>
    <row r="717" spans="1:84" s="2" customFormat="1" x14ac:dyDescent="0.2">
      <c r="A717" s="17" t="s">
        <v>3921</v>
      </c>
      <c r="B717" s="17" t="s">
        <v>45</v>
      </c>
      <c r="C717" s="17">
        <v>2025</v>
      </c>
      <c r="D717" s="17" t="str">
        <f t="array" ref="D717">_xlfn.SWITCH(E717,"Bagor","35.18.14","Sukomoro",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17" s="16" t="s">
        <v>92</v>
      </c>
      <c r="F717" s="33" t="s">
        <v>1927</v>
      </c>
      <c r="G717" s="33" t="s">
        <v>1928</v>
      </c>
      <c r="H717" s="16" t="s">
        <v>31</v>
      </c>
      <c r="I717" s="16">
        <v>1</v>
      </c>
      <c r="J717" s="16">
        <v>2</v>
      </c>
      <c r="K717" s="16">
        <f t="shared" si="13"/>
        <v>3</v>
      </c>
      <c r="L717" s="38">
        <v>35000000</v>
      </c>
      <c r="M717" s="17" t="s">
        <v>1120</v>
      </c>
      <c r="N717" s="67">
        <f>65*12*14</f>
        <v>10920</v>
      </c>
      <c r="O717" s="16" t="s">
        <v>422</v>
      </c>
      <c r="P717" s="30">
        <v>78624000</v>
      </c>
      <c r="Q717" s="33" t="s">
        <v>1642</v>
      </c>
      <c r="R717" s="38">
        <f>65*12*7</f>
        <v>5460</v>
      </c>
      <c r="S717" s="16" t="s">
        <v>422</v>
      </c>
      <c r="T717" s="30">
        <v>40950000</v>
      </c>
      <c r="U717" s="16" t="s">
        <v>22</v>
      </c>
      <c r="V717" s="20" t="s">
        <v>57</v>
      </c>
      <c r="W717" s="16">
        <v>2600</v>
      </c>
      <c r="X717" s="16" t="s">
        <v>51</v>
      </c>
      <c r="Y717" s="16">
        <v>60</v>
      </c>
      <c r="Z717" s="16">
        <v>40</v>
      </c>
      <c r="AA717" s="16">
        <v>0</v>
      </c>
      <c r="AB717" s="16">
        <v>0</v>
      </c>
      <c r="AC717" s="16"/>
      <c r="AD717" s="68"/>
      <c r="AE717" s="23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</row>
    <row r="718" spans="1:84" s="2" customFormat="1" x14ac:dyDescent="0.2">
      <c r="A718" s="17" t="s">
        <v>3921</v>
      </c>
      <c r="B718" s="17" t="s">
        <v>45</v>
      </c>
      <c r="C718" s="17">
        <v>2025</v>
      </c>
      <c r="D718" s="17" t="str">
        <f t="array" ref="D718">_xlfn.SWITCH(E718,"Bagor","35.18.14","Sukomoro",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18" s="16" t="s">
        <v>92</v>
      </c>
      <c r="F718" s="33" t="s">
        <v>1929</v>
      </c>
      <c r="G718" s="33" t="s">
        <v>1930</v>
      </c>
      <c r="H718" s="16" t="s">
        <v>31</v>
      </c>
      <c r="I718" s="16">
        <v>1</v>
      </c>
      <c r="J718" s="16">
        <v>2</v>
      </c>
      <c r="K718" s="16">
        <f t="shared" si="13"/>
        <v>3</v>
      </c>
      <c r="L718" s="38">
        <v>2000000</v>
      </c>
      <c r="M718" s="17" t="s">
        <v>1552</v>
      </c>
      <c r="N718" s="67">
        <f>3.5*12*14</f>
        <v>588</v>
      </c>
      <c r="O718" s="16" t="s">
        <v>422</v>
      </c>
      <c r="P718" s="30">
        <v>23520000</v>
      </c>
      <c r="Q718" s="33" t="s">
        <v>1553</v>
      </c>
      <c r="R718" s="38">
        <f>10*12*14</f>
        <v>1680</v>
      </c>
      <c r="S718" s="16" t="s">
        <v>422</v>
      </c>
      <c r="T718" s="30">
        <v>8400000</v>
      </c>
      <c r="U718" s="16" t="s">
        <v>22</v>
      </c>
      <c r="V718" s="20" t="s">
        <v>57</v>
      </c>
      <c r="W718" s="16">
        <v>700</v>
      </c>
      <c r="X718" s="16" t="s">
        <v>51</v>
      </c>
      <c r="Y718" s="16">
        <v>90</v>
      </c>
      <c r="Z718" s="16">
        <v>10</v>
      </c>
      <c r="AA718" s="16">
        <v>0</v>
      </c>
      <c r="AB718" s="16">
        <v>0</v>
      </c>
      <c r="AC718" s="16"/>
      <c r="AD718" s="68"/>
      <c r="AE718" s="23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</row>
    <row r="719" spans="1:84" s="2" customFormat="1" ht="20" x14ac:dyDescent="0.2">
      <c r="A719" s="17" t="s">
        <v>3921</v>
      </c>
      <c r="B719" s="17" t="s">
        <v>45</v>
      </c>
      <c r="C719" s="17">
        <v>2025</v>
      </c>
      <c r="D719" s="17" t="str">
        <f t="array" ref="D719">_xlfn.SWITCH(E719,"Bagor","35.18.14","Sukomoro",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9" s="16" t="s">
        <v>71</v>
      </c>
      <c r="F719" s="33" t="s">
        <v>1528</v>
      </c>
      <c r="G719" s="33" t="s">
        <v>1931</v>
      </c>
      <c r="H719" s="16" t="s">
        <v>47</v>
      </c>
      <c r="I719" s="16">
        <v>6</v>
      </c>
      <c r="J719" s="16">
        <v>0</v>
      </c>
      <c r="K719" s="16">
        <f t="shared" si="13"/>
        <v>6</v>
      </c>
      <c r="L719" s="38">
        <v>70000000</v>
      </c>
      <c r="M719" s="17" t="s">
        <v>354</v>
      </c>
      <c r="N719" s="67">
        <f>25*12*4</f>
        <v>1200</v>
      </c>
      <c r="O719" s="16" t="s">
        <v>422</v>
      </c>
      <c r="P719" s="30">
        <v>93600000</v>
      </c>
      <c r="Q719" s="33" t="s">
        <v>1707</v>
      </c>
      <c r="R719" s="38">
        <v>3.84</v>
      </c>
      <c r="S719" s="16" t="s">
        <v>962</v>
      </c>
      <c r="T719" s="30">
        <v>57600000</v>
      </c>
      <c r="U719" s="16" t="s">
        <v>22</v>
      </c>
      <c r="V719" s="20" t="s">
        <v>57</v>
      </c>
      <c r="W719" s="16">
        <v>100</v>
      </c>
      <c r="X719" s="16" t="s">
        <v>51</v>
      </c>
      <c r="Y719" s="16">
        <v>80</v>
      </c>
      <c r="Z719" s="16">
        <v>20</v>
      </c>
      <c r="AA719" s="16">
        <v>0</v>
      </c>
      <c r="AB719" s="16">
        <v>0</v>
      </c>
      <c r="AC719" s="16"/>
      <c r="AD719" s="68"/>
      <c r="AE719" s="23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</row>
    <row r="720" spans="1:84" s="2" customFormat="1" x14ac:dyDescent="0.2">
      <c r="A720" s="17" t="s">
        <v>3921</v>
      </c>
      <c r="B720" s="17" t="s">
        <v>45</v>
      </c>
      <c r="C720" s="17">
        <v>2025</v>
      </c>
      <c r="D720" s="17" t="str">
        <f t="array" ref="D720">_xlfn.SWITCH(E720,"Bagor","35.18.14","Sukomoro",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20" s="16" t="s">
        <v>71</v>
      </c>
      <c r="F720" s="33" t="s">
        <v>1632</v>
      </c>
      <c r="G720" s="33" t="s">
        <v>1932</v>
      </c>
      <c r="H720" s="16" t="s">
        <v>47</v>
      </c>
      <c r="I720" s="16">
        <v>6</v>
      </c>
      <c r="J720" s="16">
        <v>0</v>
      </c>
      <c r="K720" s="16">
        <f t="shared" si="13"/>
        <v>6</v>
      </c>
      <c r="L720" s="38">
        <v>150000000</v>
      </c>
      <c r="M720" s="17" t="s">
        <v>354</v>
      </c>
      <c r="N720" s="67">
        <f>50*12*7</f>
        <v>4200</v>
      </c>
      <c r="O720" s="16" t="s">
        <v>422</v>
      </c>
      <c r="P720" s="30">
        <v>327600000</v>
      </c>
      <c r="Q720" s="33" t="s">
        <v>1707</v>
      </c>
      <c r="R720" s="38">
        <f>2.5*12*26</f>
        <v>780</v>
      </c>
      <c r="S720" s="16" t="s">
        <v>962</v>
      </c>
      <c r="T720" s="30">
        <v>140400000</v>
      </c>
      <c r="U720" s="16" t="s">
        <v>22</v>
      </c>
      <c r="V720" s="20" t="s">
        <v>57</v>
      </c>
      <c r="W720" s="16">
        <v>320</v>
      </c>
      <c r="X720" s="16" t="s">
        <v>51</v>
      </c>
      <c r="Y720" s="16">
        <v>90</v>
      </c>
      <c r="Z720" s="16">
        <v>10</v>
      </c>
      <c r="AA720" s="16">
        <v>0</v>
      </c>
      <c r="AB720" s="16">
        <v>0</v>
      </c>
      <c r="AC720" s="16"/>
      <c r="AD720" s="68"/>
      <c r="AE720" s="23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</row>
    <row r="721" spans="1:84" s="2" customFormat="1" x14ac:dyDescent="0.2">
      <c r="A721" s="17" t="s">
        <v>3921</v>
      </c>
      <c r="B721" s="17" t="s">
        <v>45</v>
      </c>
      <c r="C721" s="17">
        <v>2025</v>
      </c>
      <c r="D721" s="17" t="str">
        <f t="array" ref="D721">_xlfn.SWITCH(E721,"Jatikalen","35.18.20","Kertosono", "35.18.08","Lengkong","35.18.19","Loceret","35.18.04","Tanjunganom","35.18.11","Wilangan","35.18.15")</f>
        <v>35.18.15</v>
      </c>
      <c r="E721" s="16" t="s">
        <v>1158</v>
      </c>
      <c r="F721" s="33" t="str">
        <f>F607</f>
        <v>Ds. Ngudikan</v>
      </c>
      <c r="G721" s="33" t="s">
        <v>1933</v>
      </c>
      <c r="H721" s="16" t="s">
        <v>31</v>
      </c>
      <c r="I721" s="16">
        <v>1</v>
      </c>
      <c r="J721" s="16">
        <v>1</v>
      </c>
      <c r="K721" s="16">
        <f t="shared" si="13"/>
        <v>2</v>
      </c>
      <c r="L721" s="38">
        <v>5000000</v>
      </c>
      <c r="M721" s="17" t="s">
        <v>1120</v>
      </c>
      <c r="N721" s="67">
        <f>35*12*7</f>
        <v>2940</v>
      </c>
      <c r="O721" s="16" t="s">
        <v>422</v>
      </c>
      <c r="P721" s="30">
        <v>21168000</v>
      </c>
      <c r="Q721" s="33" t="s">
        <v>1642</v>
      </c>
      <c r="R721" s="38">
        <v>1120</v>
      </c>
      <c r="S721" s="16" t="s">
        <v>422</v>
      </c>
      <c r="T721" s="30">
        <v>8960000</v>
      </c>
      <c r="U721" s="16" t="s">
        <v>22</v>
      </c>
      <c r="V721" s="20" t="s">
        <v>57</v>
      </c>
      <c r="W721" s="16">
        <v>670</v>
      </c>
      <c r="X721" s="16" t="s">
        <v>51</v>
      </c>
      <c r="Y721" s="16">
        <v>65</v>
      </c>
      <c r="Z721" s="16">
        <v>35</v>
      </c>
      <c r="AA721" s="16">
        <v>0</v>
      </c>
      <c r="AB721" s="16">
        <v>0</v>
      </c>
      <c r="AC721" s="16"/>
      <c r="AD721" s="68"/>
      <c r="AE721" s="23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</row>
    <row r="722" spans="1:84" s="2" customFormat="1" x14ac:dyDescent="0.2">
      <c r="A722" s="17" t="s">
        <v>3921</v>
      </c>
      <c r="B722" s="17" t="s">
        <v>45</v>
      </c>
      <c r="C722" s="17">
        <v>2025</v>
      </c>
      <c r="D722" s="17" t="str">
        <f t="array" ref="D722">_xlfn.SWITCH(E722,"Jatikalen","35.18.20","Kertosono", "35.18.08","Lengkong","35.18.19","Loceret","35.18.04","Tanjunganom","35.18.11","Wilangan","35.18.15")</f>
        <v>35.18.15</v>
      </c>
      <c r="E722" s="16" t="s">
        <v>1158</v>
      </c>
      <c r="F722" s="33" t="str">
        <f>F608</f>
        <v>Ds. Ngudikan</v>
      </c>
      <c r="G722" s="33" t="s">
        <v>1934</v>
      </c>
      <c r="H722" s="16" t="s">
        <v>31</v>
      </c>
      <c r="I722" s="16">
        <v>2</v>
      </c>
      <c r="J722" s="16">
        <v>1</v>
      </c>
      <c r="K722" s="16">
        <f t="shared" si="13"/>
        <v>3</v>
      </c>
      <c r="L722" s="38">
        <v>5000000</v>
      </c>
      <c r="M722" s="17" t="s">
        <v>1120</v>
      </c>
      <c r="N722" s="67">
        <f>20*12*7</f>
        <v>1680</v>
      </c>
      <c r="O722" s="16" t="s">
        <v>422</v>
      </c>
      <c r="P722" s="30">
        <v>12600000</v>
      </c>
      <c r="Q722" s="33" t="s">
        <v>1642</v>
      </c>
      <c r="R722" s="38">
        <v>850</v>
      </c>
      <c r="S722" s="16" t="s">
        <v>422</v>
      </c>
      <c r="T722" s="30">
        <v>6800000</v>
      </c>
      <c r="U722" s="16" t="s">
        <v>22</v>
      </c>
      <c r="V722" s="20" t="s">
        <v>57</v>
      </c>
      <c r="W722" s="16">
        <v>300</v>
      </c>
      <c r="X722" s="16" t="s">
        <v>51</v>
      </c>
      <c r="Y722" s="16">
        <v>90</v>
      </c>
      <c r="Z722" s="16">
        <v>10</v>
      </c>
      <c r="AA722" s="16">
        <v>0</v>
      </c>
      <c r="AB722" s="16">
        <v>0</v>
      </c>
      <c r="AC722" s="16"/>
      <c r="AD722" s="68"/>
      <c r="AE722" s="23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</row>
    <row r="723" spans="1:84" s="2" customFormat="1" x14ac:dyDescent="0.2">
      <c r="A723" s="17" t="s">
        <v>3921</v>
      </c>
      <c r="B723" s="17" t="s">
        <v>45</v>
      </c>
      <c r="C723" s="17">
        <v>2025</v>
      </c>
      <c r="D723" s="17" t="str">
        <f t="array" ref="D723">_xlfn.SWITCH(E723,"Jatikalen","35.18.20","Kertosono", "35.18.08","Lengkong","35.18.19","Loceret","35.18.04","Tanjunganom","35.18.11","Wilangan","35.18.15")</f>
        <v>35.18.15</v>
      </c>
      <c r="E723" s="16" t="s">
        <v>1158</v>
      </c>
      <c r="F723" s="33" t="str">
        <f>F609</f>
        <v>Ds. Ngudikan</v>
      </c>
      <c r="G723" s="33" t="s">
        <v>1891</v>
      </c>
      <c r="H723" s="16" t="s">
        <v>47</v>
      </c>
      <c r="I723" s="16">
        <v>15</v>
      </c>
      <c r="J723" s="16">
        <v>0</v>
      </c>
      <c r="K723" s="16">
        <f t="shared" si="13"/>
        <v>15</v>
      </c>
      <c r="L723" s="38">
        <v>150000000</v>
      </c>
      <c r="M723" s="17" t="s">
        <v>72</v>
      </c>
      <c r="N723" s="67">
        <f>1.5*12*26</f>
        <v>468</v>
      </c>
      <c r="O723" s="16" t="s">
        <v>69</v>
      </c>
      <c r="P723" s="30">
        <v>234000000</v>
      </c>
      <c r="Q723" s="33" t="s">
        <v>1680</v>
      </c>
      <c r="R723" s="38">
        <f>1.5*12*26</f>
        <v>468</v>
      </c>
      <c r="S723" s="16" t="s">
        <v>69</v>
      </c>
      <c r="T723" s="30">
        <v>117000000</v>
      </c>
      <c r="U723" s="16" t="s">
        <v>22</v>
      </c>
      <c r="V723" s="20">
        <v>0</v>
      </c>
      <c r="W723" s="16">
        <v>0</v>
      </c>
      <c r="X723" s="16">
        <v>0</v>
      </c>
      <c r="Y723" s="16">
        <v>75</v>
      </c>
      <c r="Z723" s="16">
        <v>25</v>
      </c>
      <c r="AA723" s="16">
        <v>0</v>
      </c>
      <c r="AB723" s="16">
        <v>0</v>
      </c>
      <c r="AC723" s="16" t="s">
        <v>1935</v>
      </c>
      <c r="AD723" s="68"/>
      <c r="AE723" s="23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</row>
    <row r="724" spans="1:84" s="2" customFormat="1" x14ac:dyDescent="0.2">
      <c r="A724" s="17" t="s">
        <v>3921</v>
      </c>
      <c r="B724" s="17" t="s">
        <v>45</v>
      </c>
      <c r="C724" s="17">
        <v>2025</v>
      </c>
      <c r="D724" s="17" t="str">
        <f t="array" ref="D724">_xlfn.SWITCH(E724,"Bagor","35.18.14","Sukomoro",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724" s="16" t="s">
        <v>45</v>
      </c>
      <c r="F724" s="33" t="s">
        <v>1936</v>
      </c>
      <c r="G724" s="33" t="s">
        <v>1937</v>
      </c>
      <c r="H724" s="16" t="s">
        <v>81</v>
      </c>
      <c r="I724" s="16">
        <v>9</v>
      </c>
      <c r="J724" s="16">
        <v>0</v>
      </c>
      <c r="K724" s="16">
        <f t="shared" si="13"/>
        <v>9</v>
      </c>
      <c r="L724" s="38">
        <v>150000000</v>
      </c>
      <c r="M724" s="17" t="s">
        <v>1027</v>
      </c>
      <c r="N724" s="67">
        <f>20*12*7</f>
        <v>1680</v>
      </c>
      <c r="O724" s="16" t="s">
        <v>69</v>
      </c>
      <c r="P724" s="30">
        <v>218400000</v>
      </c>
      <c r="Q724" s="33" t="s">
        <v>1938</v>
      </c>
      <c r="R724" s="38">
        <f>20*12*7</f>
        <v>1680</v>
      </c>
      <c r="S724" s="16" t="s">
        <v>69</v>
      </c>
      <c r="T724" s="30">
        <v>100800000</v>
      </c>
      <c r="U724" s="16" t="s">
        <v>22</v>
      </c>
      <c r="V724" s="20">
        <v>0</v>
      </c>
      <c r="W724" s="16">
        <v>0</v>
      </c>
      <c r="X724" s="16">
        <v>0</v>
      </c>
      <c r="Y724" s="16">
        <v>90</v>
      </c>
      <c r="Z724" s="16">
        <v>10</v>
      </c>
      <c r="AA724" s="16">
        <v>0</v>
      </c>
      <c r="AB724" s="16">
        <v>0</v>
      </c>
      <c r="AC724" s="16"/>
      <c r="AD724" s="68"/>
      <c r="AE724" s="23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</row>
    <row r="725" spans="1:84" s="2" customFormat="1" x14ac:dyDescent="0.2">
      <c r="A725" s="17" t="s">
        <v>3921</v>
      </c>
      <c r="B725" s="17" t="s">
        <v>45</v>
      </c>
      <c r="C725" s="17">
        <v>2025</v>
      </c>
      <c r="D725" s="17" t="str">
        <f t="array" ref="D725">_xlfn.SWITCH(E725,"Bagor","35.18.14","Sukomoro",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25" s="16" t="s">
        <v>114</v>
      </c>
      <c r="F725" s="33" t="s">
        <v>1939</v>
      </c>
      <c r="G725" s="33" t="s">
        <v>1940</v>
      </c>
      <c r="H725" s="16" t="s">
        <v>47</v>
      </c>
      <c r="I725" s="16">
        <v>4</v>
      </c>
      <c r="J725" s="16">
        <v>0</v>
      </c>
      <c r="K725" s="16">
        <f t="shared" si="13"/>
        <v>4</v>
      </c>
      <c r="L725" s="38">
        <v>274000000</v>
      </c>
      <c r="M725" s="17" t="s">
        <v>72</v>
      </c>
      <c r="N725" s="67">
        <f>10*12*26</f>
        <v>3120</v>
      </c>
      <c r="O725" s="16" t="s">
        <v>69</v>
      </c>
      <c r="P725" s="30">
        <v>624000000</v>
      </c>
      <c r="Q725" s="33" t="s">
        <v>50</v>
      </c>
      <c r="R725" s="38">
        <f>10*12*26</f>
        <v>3120</v>
      </c>
      <c r="S725" s="16" t="s">
        <v>69</v>
      </c>
      <c r="T725" s="30">
        <v>312000000</v>
      </c>
      <c r="U725" s="16" t="s">
        <v>22</v>
      </c>
      <c r="V725" s="20">
        <v>0</v>
      </c>
      <c r="W725" s="16">
        <v>0</v>
      </c>
      <c r="X725" s="16">
        <v>0</v>
      </c>
      <c r="Y725" s="16">
        <v>80</v>
      </c>
      <c r="Z725" s="16">
        <v>20</v>
      </c>
      <c r="AA725" s="16">
        <v>0</v>
      </c>
      <c r="AB725" s="16">
        <v>0</v>
      </c>
      <c r="AC725" s="16" t="s">
        <v>1941</v>
      </c>
      <c r="AD725" s="68"/>
      <c r="AE725" s="23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</row>
    <row r="726" spans="1:84" s="2" customFormat="1" x14ac:dyDescent="0.2">
      <c r="A726" s="17" t="s">
        <v>3921</v>
      </c>
      <c r="B726" s="17" t="s">
        <v>45</v>
      </c>
      <c r="C726" s="17">
        <v>2025</v>
      </c>
      <c r="D726" s="17" t="str">
        <f t="array" ref="D726">_xlfn.SWITCH(E726,"Bagor","35.18.14","Sukomoro",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26" s="16" t="s">
        <v>114</v>
      </c>
      <c r="F726" s="33" t="s">
        <v>1939</v>
      </c>
      <c r="G726" s="33" t="s">
        <v>1942</v>
      </c>
      <c r="H726" s="16" t="s">
        <v>47</v>
      </c>
      <c r="I726" s="16">
        <v>3</v>
      </c>
      <c r="J726" s="16">
        <v>0</v>
      </c>
      <c r="K726" s="16">
        <f t="shared" si="13"/>
        <v>3</v>
      </c>
      <c r="L726" s="38">
        <v>73450000</v>
      </c>
      <c r="M726" s="17" t="s">
        <v>72</v>
      </c>
      <c r="N726" s="67">
        <f>3*12*26</f>
        <v>936</v>
      </c>
      <c r="O726" s="16" t="s">
        <v>69</v>
      </c>
      <c r="P726" s="30">
        <v>252700000</v>
      </c>
      <c r="Q726" s="33" t="s">
        <v>1680</v>
      </c>
      <c r="R726" s="38">
        <f>3*12*26</f>
        <v>936</v>
      </c>
      <c r="S726" s="16" t="s">
        <v>69</v>
      </c>
      <c r="T726" s="30">
        <v>140400000</v>
      </c>
      <c r="U726" s="16" t="s">
        <v>22</v>
      </c>
      <c r="V726" s="20">
        <v>0</v>
      </c>
      <c r="W726" s="16">
        <v>0</v>
      </c>
      <c r="X726" s="16">
        <v>0</v>
      </c>
      <c r="Y726" s="16">
        <v>100</v>
      </c>
      <c r="Z726" s="16">
        <v>0</v>
      </c>
      <c r="AA726" s="16">
        <v>0</v>
      </c>
      <c r="AB726" s="16">
        <v>0</v>
      </c>
      <c r="AC726" s="16"/>
      <c r="AD726" s="68"/>
      <c r="AE726" s="23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</row>
    <row r="727" spans="1:84" s="2" customFormat="1" x14ac:dyDescent="0.2">
      <c r="A727" s="17" t="s">
        <v>3921</v>
      </c>
      <c r="B727" s="17" t="s">
        <v>45</v>
      </c>
      <c r="C727" s="17">
        <v>2025</v>
      </c>
      <c r="D727" s="17" t="str">
        <f t="array" ref="D727">_xlfn.SWITCH(E727,"Jatikalen","35.18.20","Kertosono", "35.18.08","Lengkong","35.18.19","Loceret","35.18.04","Tanjunganom","35.18.11","Wilangan","35.18.15")</f>
        <v>35.18.11</v>
      </c>
      <c r="E727" s="16" t="s">
        <v>60</v>
      </c>
      <c r="F727" s="33" t="s">
        <v>1943</v>
      </c>
      <c r="G727" s="33" t="s">
        <v>1944</v>
      </c>
      <c r="H727" s="16" t="s">
        <v>31</v>
      </c>
      <c r="I727" s="16">
        <v>3</v>
      </c>
      <c r="J727" s="16">
        <v>0</v>
      </c>
      <c r="K727" s="16">
        <f t="shared" si="13"/>
        <v>3</v>
      </c>
      <c r="L727" s="38">
        <v>5000000</v>
      </c>
      <c r="M727" s="17" t="s">
        <v>1945</v>
      </c>
      <c r="N727" s="67">
        <f>2*12*26</f>
        <v>624</v>
      </c>
      <c r="O727" s="16" t="s">
        <v>1130</v>
      </c>
      <c r="P727" s="30">
        <v>31200000</v>
      </c>
      <c r="Q727" s="33" t="s">
        <v>1946</v>
      </c>
      <c r="R727" s="38">
        <f>14*12*7</f>
        <v>1176</v>
      </c>
      <c r="S727" s="16" t="s">
        <v>69</v>
      </c>
      <c r="T727" s="30">
        <v>17640000</v>
      </c>
      <c r="U727" s="16" t="s">
        <v>22</v>
      </c>
      <c r="V727" s="20">
        <v>0</v>
      </c>
      <c r="W727" s="16">
        <v>0</v>
      </c>
      <c r="X727" s="16">
        <v>0</v>
      </c>
      <c r="Y727" s="16">
        <v>100</v>
      </c>
      <c r="Z727" s="16">
        <v>0</v>
      </c>
      <c r="AA727" s="16">
        <v>0</v>
      </c>
      <c r="AB727" s="16">
        <v>0</v>
      </c>
      <c r="AC727" s="16"/>
      <c r="AD727" s="68"/>
      <c r="AE727" s="23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</row>
    <row r="728" spans="1:84" s="2" customFormat="1" x14ac:dyDescent="0.2">
      <c r="A728" s="17" t="s">
        <v>3921</v>
      </c>
      <c r="B728" s="17" t="s">
        <v>45</v>
      </c>
      <c r="C728" s="17">
        <v>2025</v>
      </c>
      <c r="D728" s="17" t="str">
        <f t="array" ref="D728">_xlfn.SWITCH(E728,"Jatikalen","35.18.20","Kertosono", "35.18.08","Lengkong","35.18.19","Loceret","35.18.04","Tanjunganom","35.18.11","Wilangan","35.18.15")</f>
        <v>35.18.11</v>
      </c>
      <c r="E728" s="16" t="s">
        <v>60</v>
      </c>
      <c r="F728" s="33" t="s">
        <v>1947</v>
      </c>
      <c r="G728" s="33" t="s">
        <v>1948</v>
      </c>
      <c r="H728" s="16" t="s">
        <v>31</v>
      </c>
      <c r="I728" s="16">
        <v>1</v>
      </c>
      <c r="J728" s="16">
        <v>1</v>
      </c>
      <c r="K728" s="16">
        <f t="shared" si="13"/>
        <v>2</v>
      </c>
      <c r="L728" s="38">
        <v>10000000</v>
      </c>
      <c r="M728" s="17" t="s">
        <v>1949</v>
      </c>
      <c r="N728" s="67">
        <f>20000</f>
        <v>20000</v>
      </c>
      <c r="O728" s="16" t="s">
        <v>1130</v>
      </c>
      <c r="P728" s="30">
        <v>70000000</v>
      </c>
      <c r="Q728" s="33" t="s">
        <v>286</v>
      </c>
      <c r="R728" s="38">
        <f>10*12*26</f>
        <v>3120</v>
      </c>
      <c r="S728" s="16" t="s">
        <v>69</v>
      </c>
      <c r="T728" s="30">
        <v>31200000</v>
      </c>
      <c r="U728" s="16" t="s">
        <v>22</v>
      </c>
      <c r="V728" s="20">
        <v>0</v>
      </c>
      <c r="W728" s="16">
        <v>0</v>
      </c>
      <c r="X728" s="16">
        <v>0</v>
      </c>
      <c r="Y728" s="16">
        <v>70</v>
      </c>
      <c r="Z728" s="16">
        <v>30</v>
      </c>
      <c r="AA728" s="16">
        <v>0</v>
      </c>
      <c r="AB728" s="16">
        <v>0</v>
      </c>
      <c r="AC728" s="16"/>
      <c r="AD728" s="68"/>
      <c r="AE728" s="23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</row>
    <row r="729" spans="1:84" s="2" customFormat="1" x14ac:dyDescent="0.2">
      <c r="A729" s="17" t="s">
        <v>3921</v>
      </c>
      <c r="B729" s="17" t="s">
        <v>45</v>
      </c>
      <c r="C729" s="17">
        <v>2025</v>
      </c>
      <c r="D729" s="17" t="str">
        <f t="array" ref="D729">_xlfn.SWITCH(E729,"Jatikalen","35.18.20","Kertosono", "35.18.08","Lengkong","35.18.19","Loceret","35.18.04","Tanjunganom","35.18.11","Wilangan","35.18.15")</f>
        <v>35.18.11</v>
      </c>
      <c r="E729" s="16" t="s">
        <v>60</v>
      </c>
      <c r="F729" s="33" t="s">
        <v>1943</v>
      </c>
      <c r="G729" s="33" t="s">
        <v>1950</v>
      </c>
      <c r="H729" s="16" t="s">
        <v>31</v>
      </c>
      <c r="I729" s="16">
        <v>1</v>
      </c>
      <c r="J729" s="16">
        <v>0</v>
      </c>
      <c r="K729" s="16">
        <f t="shared" si="13"/>
        <v>1</v>
      </c>
      <c r="L729" s="38">
        <v>2500000</v>
      </c>
      <c r="M729" s="17" t="s">
        <v>1951</v>
      </c>
      <c r="N729" s="67">
        <v>14000</v>
      </c>
      <c r="O729" s="16" t="s">
        <v>1130</v>
      </c>
      <c r="P729" s="30">
        <v>51800000</v>
      </c>
      <c r="Q729" s="33" t="s">
        <v>286</v>
      </c>
      <c r="R729" s="38">
        <f>13*12*26</f>
        <v>4056</v>
      </c>
      <c r="S729" s="16" t="s">
        <v>69</v>
      </c>
      <c r="T729" s="30">
        <v>32448000</v>
      </c>
      <c r="U729" s="16" t="s">
        <v>22</v>
      </c>
      <c r="V729" s="20" t="s">
        <v>57</v>
      </c>
      <c r="W729" s="16">
        <v>2200</v>
      </c>
      <c r="X729" s="16" t="s">
        <v>51</v>
      </c>
      <c r="Y729" s="16">
        <v>60</v>
      </c>
      <c r="Z729" s="16">
        <v>40</v>
      </c>
      <c r="AA729" s="16">
        <v>0</v>
      </c>
      <c r="AB729" s="16">
        <v>0</v>
      </c>
      <c r="AC729" s="16"/>
      <c r="AD729" s="68"/>
      <c r="AE729" s="23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</row>
    <row r="730" spans="1:84" s="2" customFormat="1" x14ac:dyDescent="0.2">
      <c r="A730" s="17" t="s">
        <v>3921</v>
      </c>
      <c r="B730" s="17" t="s">
        <v>45</v>
      </c>
      <c r="C730" s="17">
        <v>2025</v>
      </c>
      <c r="D730" s="17" t="str">
        <f t="array" ref="D730">_xlfn.SWITCH(E730,"Jatikalen","35.18.20","Kertosono", "35.18.08","Lengkong","35.18.19","Loceret","35.18.04","Tanjunganom","35.18.11","Wilangan","35.18.15")</f>
        <v>35.18.11</v>
      </c>
      <c r="E730" s="16" t="s">
        <v>60</v>
      </c>
      <c r="F730" s="33" t="s">
        <v>1943</v>
      </c>
      <c r="G730" s="33" t="s">
        <v>1952</v>
      </c>
      <c r="H730" s="16" t="s">
        <v>31</v>
      </c>
      <c r="I730" s="16">
        <v>1</v>
      </c>
      <c r="J730" s="16">
        <v>1</v>
      </c>
      <c r="K730" s="16">
        <f t="shared" si="13"/>
        <v>2</v>
      </c>
      <c r="L730" s="38">
        <v>3000000</v>
      </c>
      <c r="M730" s="17" t="s">
        <v>1951</v>
      </c>
      <c r="N730" s="67">
        <v>7000</v>
      </c>
      <c r="O730" s="16" t="s">
        <v>1130</v>
      </c>
      <c r="P730" s="30">
        <v>24500000</v>
      </c>
      <c r="Q730" s="33" t="s">
        <v>286</v>
      </c>
      <c r="R730" s="38">
        <f>4*12*26</f>
        <v>1248</v>
      </c>
      <c r="S730" s="16" t="s">
        <v>69</v>
      </c>
      <c r="T730" s="30">
        <v>12480000</v>
      </c>
      <c r="U730" s="16" t="s">
        <v>22</v>
      </c>
      <c r="V730" s="20" t="s">
        <v>57</v>
      </c>
      <c r="W730" s="16">
        <v>740</v>
      </c>
      <c r="X730" s="16" t="s">
        <v>51</v>
      </c>
      <c r="Y730" s="16">
        <v>50</v>
      </c>
      <c r="Z730" s="16">
        <v>50</v>
      </c>
      <c r="AA730" s="16">
        <v>0</v>
      </c>
      <c r="AB730" s="16">
        <v>0</v>
      </c>
      <c r="AC730" s="16"/>
      <c r="AD730" s="68"/>
      <c r="AE730" s="23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</row>
    <row r="731" spans="1:84" s="2" customFormat="1" x14ac:dyDescent="0.2">
      <c r="A731" s="17" t="s">
        <v>3921</v>
      </c>
      <c r="B731" s="17" t="s">
        <v>45</v>
      </c>
      <c r="C731" s="17">
        <v>2025</v>
      </c>
      <c r="D731" s="17" t="str">
        <f t="array" ref="D731">_xlfn.SWITCH(E731,"Jatikalen","35.18.20","Kertosono", "35.18.08","Lengkong","35.18.19","Loceret","35.18.04","Tanjunganom","35.18.11","Wilangan","35.18.15")</f>
        <v>35.18.11</v>
      </c>
      <c r="E731" s="16" t="s">
        <v>60</v>
      </c>
      <c r="F731" s="33" t="s">
        <v>1943</v>
      </c>
      <c r="G731" s="33" t="s">
        <v>1953</v>
      </c>
      <c r="H731" s="16" t="s">
        <v>31</v>
      </c>
      <c r="I731" s="16">
        <v>1</v>
      </c>
      <c r="J731" s="16">
        <v>1</v>
      </c>
      <c r="K731" s="16">
        <f t="shared" si="13"/>
        <v>2</v>
      </c>
      <c r="L731" s="38">
        <v>3000000</v>
      </c>
      <c r="M731" s="17" t="s">
        <v>1951</v>
      </c>
      <c r="N731" s="67">
        <v>10000</v>
      </c>
      <c r="O731" s="16" t="s">
        <v>1130</v>
      </c>
      <c r="P731" s="30">
        <v>38000000</v>
      </c>
      <c r="Q731" s="33" t="s">
        <v>286</v>
      </c>
      <c r="R731" s="38">
        <f>4*12*26</f>
        <v>1248</v>
      </c>
      <c r="S731" s="16" t="s">
        <v>69</v>
      </c>
      <c r="T731" s="30">
        <v>13728000</v>
      </c>
      <c r="U731" s="16" t="s">
        <v>22</v>
      </c>
      <c r="V731" s="20" t="s">
        <v>57</v>
      </c>
      <c r="W731" s="16">
        <v>700</v>
      </c>
      <c r="X731" s="16" t="s">
        <v>51</v>
      </c>
      <c r="Y731" s="16">
        <v>35</v>
      </c>
      <c r="Z731" s="16">
        <v>30</v>
      </c>
      <c r="AA731" s="16">
        <v>35</v>
      </c>
      <c r="AB731" s="16">
        <v>0</v>
      </c>
      <c r="AC731" s="16"/>
      <c r="AD731" s="68"/>
      <c r="AE731" s="23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</row>
    <row r="732" spans="1:84" s="2" customFormat="1" x14ac:dyDescent="0.2">
      <c r="A732" s="17" t="s">
        <v>3921</v>
      </c>
      <c r="B732" s="17" t="s">
        <v>45</v>
      </c>
      <c r="C732" s="17">
        <v>2025</v>
      </c>
      <c r="D732" s="17" t="str">
        <f t="array" ref="D732">_xlfn.SWITCH(E732,"Jatikalen","35.18.20","Kertosono", "35.18.08","Lengkong","35.18.19","Loceret","35.18.04","Tanjunganom","35.18.11","Wilangan","35.18.15")</f>
        <v>35.18.11</v>
      </c>
      <c r="E732" s="16" t="s">
        <v>60</v>
      </c>
      <c r="F732" s="33" t="s">
        <v>1943</v>
      </c>
      <c r="G732" s="33" t="s">
        <v>1954</v>
      </c>
      <c r="H732" s="16" t="s">
        <v>31</v>
      </c>
      <c r="I732" s="16">
        <v>0</v>
      </c>
      <c r="J732" s="16">
        <v>1</v>
      </c>
      <c r="K732" s="16">
        <f t="shared" si="13"/>
        <v>1</v>
      </c>
      <c r="L732" s="38">
        <v>4500000</v>
      </c>
      <c r="M732" s="17" t="s">
        <v>1951</v>
      </c>
      <c r="N732" s="67">
        <v>10000</v>
      </c>
      <c r="O732" s="16" t="s">
        <v>1130</v>
      </c>
      <c r="P732" s="30">
        <v>30000000</v>
      </c>
      <c r="Q732" s="33" t="s">
        <v>286</v>
      </c>
      <c r="R732" s="38">
        <f>5*12*26</f>
        <v>1560</v>
      </c>
      <c r="S732" s="16" t="s">
        <v>69</v>
      </c>
      <c r="T732" s="30">
        <v>15600000</v>
      </c>
      <c r="U732" s="16" t="s">
        <v>22</v>
      </c>
      <c r="V732" s="20" t="s">
        <v>57</v>
      </c>
      <c r="W732" s="16">
        <v>880</v>
      </c>
      <c r="X732" s="16" t="s">
        <v>51</v>
      </c>
      <c r="Y732" s="16">
        <v>70</v>
      </c>
      <c r="Z732" s="16">
        <v>30</v>
      </c>
      <c r="AA732" s="16">
        <v>0</v>
      </c>
      <c r="AB732" s="16">
        <v>0</v>
      </c>
      <c r="AC732" s="16"/>
      <c r="AD732" s="68"/>
      <c r="AE732" s="23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</row>
    <row r="733" spans="1:84" s="2" customFormat="1" x14ac:dyDescent="0.2">
      <c r="A733" s="17" t="s">
        <v>3921</v>
      </c>
      <c r="B733" s="17" t="s">
        <v>45</v>
      </c>
      <c r="C733" s="17">
        <v>2025</v>
      </c>
      <c r="D733" s="17" t="str">
        <f t="array" ref="D733">_xlfn.SWITCH(E733,"Bagor","35.18.14","Sukomoro",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33" s="16" t="s">
        <v>92</v>
      </c>
      <c r="F733" s="33" t="s">
        <v>1192</v>
      </c>
      <c r="G733" s="33" t="s">
        <v>1830</v>
      </c>
      <c r="H733" s="16" t="s">
        <v>31</v>
      </c>
      <c r="I733" s="16">
        <v>1</v>
      </c>
      <c r="J733" s="16">
        <v>0</v>
      </c>
      <c r="K733" s="16">
        <f t="shared" si="13"/>
        <v>1</v>
      </c>
      <c r="L733" s="38">
        <v>30000000</v>
      </c>
      <c r="M733" s="17" t="s">
        <v>1955</v>
      </c>
      <c r="N733" s="67">
        <f>1.5*12*26</f>
        <v>468</v>
      </c>
      <c r="O733" s="16" t="s">
        <v>83</v>
      </c>
      <c r="P733" s="30">
        <v>56160000</v>
      </c>
      <c r="Q733" s="33" t="s">
        <v>1956</v>
      </c>
      <c r="R733" s="38">
        <f>3*12*14</f>
        <v>504</v>
      </c>
      <c r="S733" s="16" t="s">
        <v>962</v>
      </c>
      <c r="T733" s="30">
        <v>32760000</v>
      </c>
      <c r="U733" s="16" t="s">
        <v>22</v>
      </c>
      <c r="V733" s="20" t="s">
        <v>998</v>
      </c>
      <c r="W733" s="16">
        <v>2100</v>
      </c>
      <c r="X733" s="16" t="s">
        <v>53</v>
      </c>
      <c r="Y733" s="16">
        <v>30</v>
      </c>
      <c r="Z733" s="16">
        <v>30</v>
      </c>
      <c r="AA733" s="16">
        <v>40</v>
      </c>
      <c r="AB733" s="16">
        <v>0</v>
      </c>
      <c r="AC733" s="16"/>
      <c r="AD733" s="68"/>
      <c r="AE733" s="23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</row>
    <row r="734" spans="1:84" s="2" customFormat="1" x14ac:dyDescent="0.2">
      <c r="A734" s="17" t="s">
        <v>3921</v>
      </c>
      <c r="B734" s="17" t="s">
        <v>45</v>
      </c>
      <c r="C734" s="17">
        <v>2025</v>
      </c>
      <c r="D734" s="17" t="str">
        <f t="array" ref="D734">_xlfn.SWITCH(E734,"Bagor","35.18.14","Sukomoro",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34" s="16" t="s">
        <v>92</v>
      </c>
      <c r="F734" s="33" t="s">
        <v>1192</v>
      </c>
      <c r="G734" s="33" t="s">
        <v>1957</v>
      </c>
      <c r="H734" s="16" t="s">
        <v>31</v>
      </c>
      <c r="I734" s="16">
        <v>0</v>
      </c>
      <c r="J734" s="16">
        <v>10</v>
      </c>
      <c r="K734" s="16">
        <f t="shared" si="13"/>
        <v>10</v>
      </c>
      <c r="L734" s="38">
        <v>20000000</v>
      </c>
      <c r="M734" s="17" t="s">
        <v>258</v>
      </c>
      <c r="N734" s="67">
        <f>50*12*26</f>
        <v>15600</v>
      </c>
      <c r="O734" s="16" t="s">
        <v>1803</v>
      </c>
      <c r="P734" s="30">
        <v>140400000</v>
      </c>
      <c r="Q734" s="33" t="s">
        <v>1958</v>
      </c>
      <c r="R734" s="38">
        <f>50*12*26</f>
        <v>15600</v>
      </c>
      <c r="S734" s="16" t="s">
        <v>1130</v>
      </c>
      <c r="T734" s="30">
        <v>46800000</v>
      </c>
      <c r="U734" s="16" t="s">
        <v>22</v>
      </c>
      <c r="V734" s="16">
        <v>0</v>
      </c>
      <c r="W734" s="16">
        <v>0</v>
      </c>
      <c r="X734" s="16">
        <v>0</v>
      </c>
      <c r="Y734" s="16">
        <v>75</v>
      </c>
      <c r="Z734" s="16">
        <v>25</v>
      </c>
      <c r="AA734" s="16">
        <v>0</v>
      </c>
      <c r="AB734" s="16">
        <v>0</v>
      </c>
      <c r="AC734" s="16"/>
      <c r="AD734" s="68"/>
      <c r="AE734" s="23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</row>
    <row r="735" spans="1:84" s="2" customFormat="1" x14ac:dyDescent="0.2">
      <c r="A735" s="17" t="s">
        <v>3921</v>
      </c>
      <c r="B735" s="17" t="s">
        <v>45</v>
      </c>
      <c r="C735" s="17">
        <v>2025</v>
      </c>
      <c r="D735" s="17" t="str">
        <f t="array" ref="D735">_xlfn.SWITCH(E735,"Bagor","35.18.14","Sukomoro",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35" s="16" t="s">
        <v>92</v>
      </c>
      <c r="F735" s="33" t="s">
        <v>1192</v>
      </c>
      <c r="G735" s="33" t="s">
        <v>1959</v>
      </c>
      <c r="H735" s="16" t="s">
        <v>31</v>
      </c>
      <c r="I735" s="16">
        <v>2</v>
      </c>
      <c r="J735" s="16">
        <v>2</v>
      </c>
      <c r="K735" s="16">
        <f t="shared" si="13"/>
        <v>4</v>
      </c>
      <c r="L735" s="38">
        <v>10000000</v>
      </c>
      <c r="M735" s="17" t="s">
        <v>172</v>
      </c>
      <c r="N735" s="67">
        <f>100*12*26</f>
        <v>31200</v>
      </c>
      <c r="O735" s="16" t="s">
        <v>422</v>
      </c>
      <c r="P735" s="30">
        <v>124800000</v>
      </c>
      <c r="Q735" s="33" t="s">
        <v>1642</v>
      </c>
      <c r="R735" s="38">
        <f>100*12*26</f>
        <v>31200</v>
      </c>
      <c r="S735" s="16" t="s">
        <v>422</v>
      </c>
      <c r="T735" s="30">
        <v>78000000</v>
      </c>
      <c r="U735" s="16" t="s">
        <v>22</v>
      </c>
      <c r="V735" s="16">
        <v>0</v>
      </c>
      <c r="W735" s="16">
        <v>0</v>
      </c>
      <c r="X735" s="16">
        <v>0</v>
      </c>
      <c r="Y735" s="16">
        <v>50</v>
      </c>
      <c r="Z735" s="16">
        <v>30</v>
      </c>
      <c r="AA735" s="16">
        <v>20</v>
      </c>
      <c r="AB735" s="16">
        <v>0</v>
      </c>
      <c r="AC735" s="16"/>
      <c r="AD735" s="68"/>
      <c r="AE735" s="23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</row>
    <row r="736" spans="1:84" s="2" customFormat="1" x14ac:dyDescent="0.2">
      <c r="A736" s="17" t="s">
        <v>3921</v>
      </c>
      <c r="B736" s="17" t="s">
        <v>45</v>
      </c>
      <c r="C736" s="17">
        <v>2025</v>
      </c>
      <c r="D736" s="17" t="str">
        <f t="array" ref="D736">_xlfn.SWITCH(E736,"Bagor","35.18.14","Sukomoro",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36" s="16" t="s">
        <v>92</v>
      </c>
      <c r="F736" s="33" t="s">
        <v>1192</v>
      </c>
      <c r="G736" s="33" t="s">
        <v>1960</v>
      </c>
      <c r="H736" s="16" t="s">
        <v>31</v>
      </c>
      <c r="I736" s="16">
        <v>2</v>
      </c>
      <c r="J736" s="16">
        <v>1</v>
      </c>
      <c r="K736" s="16">
        <f t="shared" si="13"/>
        <v>3</v>
      </c>
      <c r="L736" s="38">
        <v>50000000</v>
      </c>
      <c r="M736" s="17" t="s">
        <v>172</v>
      </c>
      <c r="N736" s="67">
        <f>1*12*26</f>
        <v>312</v>
      </c>
      <c r="O736" s="16" t="s">
        <v>1238</v>
      </c>
      <c r="P736" s="30">
        <v>171600000</v>
      </c>
      <c r="Q736" s="33" t="s">
        <v>1642</v>
      </c>
      <c r="R736" s="38">
        <f>10*12*26</f>
        <v>3120</v>
      </c>
      <c r="S736" s="16" t="s">
        <v>422</v>
      </c>
      <c r="T736" s="30">
        <v>78000000</v>
      </c>
      <c r="U736" s="16" t="s">
        <v>22</v>
      </c>
      <c r="V736" s="16">
        <v>0</v>
      </c>
      <c r="W736" s="16">
        <v>0</v>
      </c>
      <c r="X736" s="16">
        <v>0</v>
      </c>
      <c r="Y736" s="16">
        <v>50</v>
      </c>
      <c r="Z736" s="16">
        <v>50</v>
      </c>
      <c r="AA736" s="16">
        <v>0</v>
      </c>
      <c r="AB736" s="16">
        <v>0</v>
      </c>
      <c r="AC736" s="16"/>
      <c r="AD736" s="68"/>
      <c r="AE736" s="23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</row>
    <row r="737" spans="1:84" s="2" customFormat="1" x14ac:dyDescent="0.2">
      <c r="A737" s="17" t="s">
        <v>3921</v>
      </c>
      <c r="B737" s="17" t="s">
        <v>45</v>
      </c>
      <c r="C737" s="17">
        <v>2025</v>
      </c>
      <c r="D737" s="17" t="str">
        <f t="array" ref="D737">_xlfn.SWITCH(E737,"Jatikalen","35.18.20","Kertosono", "35.18.08","Lengkong","35.18.19","Loceret","35.18.04","Tanjunganom","35.18.11","Wilangan","35.18.15")</f>
        <v>35.18.11</v>
      </c>
      <c r="E737" s="16" t="s">
        <v>60</v>
      </c>
      <c r="F737" s="33" t="s">
        <v>1943</v>
      </c>
      <c r="G737" s="33" t="s">
        <v>1961</v>
      </c>
      <c r="H737" s="16" t="s">
        <v>31</v>
      </c>
      <c r="I737" s="16">
        <v>1</v>
      </c>
      <c r="J737" s="16">
        <v>0</v>
      </c>
      <c r="K737" s="16">
        <f t="shared" si="13"/>
        <v>1</v>
      </c>
      <c r="L737" s="38">
        <v>4000000</v>
      </c>
      <c r="M737" s="17" t="s">
        <v>1962</v>
      </c>
      <c r="N737" s="67">
        <f>20*12*26</f>
        <v>6240</v>
      </c>
      <c r="O737" s="16" t="s">
        <v>1420</v>
      </c>
      <c r="P737" s="30">
        <v>31200000</v>
      </c>
      <c r="Q737" s="33" t="s">
        <v>1963</v>
      </c>
      <c r="R737" s="38">
        <v>1650</v>
      </c>
      <c r="S737" s="16" t="s">
        <v>422</v>
      </c>
      <c r="T737" s="30">
        <v>16500000</v>
      </c>
      <c r="U737" s="16" t="s">
        <v>22</v>
      </c>
      <c r="V737" s="16">
        <v>0</v>
      </c>
      <c r="W737" s="16">
        <v>0</v>
      </c>
      <c r="X737" s="16">
        <v>0</v>
      </c>
      <c r="Y737" s="16">
        <v>50</v>
      </c>
      <c r="Z737" s="16">
        <v>50</v>
      </c>
      <c r="AA737" s="16">
        <v>0</v>
      </c>
      <c r="AB737" s="16">
        <v>0</v>
      </c>
      <c r="AC737" s="16"/>
      <c r="AD737" s="68"/>
      <c r="AE737" s="23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</row>
    <row r="738" spans="1:84" s="2" customFormat="1" x14ac:dyDescent="0.2">
      <c r="A738" s="17" t="s">
        <v>3921</v>
      </c>
      <c r="B738" s="17" t="s">
        <v>45</v>
      </c>
      <c r="C738" s="17">
        <v>2025</v>
      </c>
      <c r="D738" s="17" t="str">
        <f t="array" ref="D738">_xlfn.SWITCH(E738,"Jatikalen","35.18.20","Kertosono", "35.18.08","Lengkong","35.18.19","Loceret","35.18.04","Tanjunganom","35.18.11","Wilangan","35.18.15")</f>
        <v>35.18.11</v>
      </c>
      <c r="E738" s="16" t="s">
        <v>60</v>
      </c>
      <c r="F738" s="33" t="s">
        <v>1230</v>
      </c>
      <c r="G738" s="33" t="s">
        <v>1964</v>
      </c>
      <c r="H738" s="16" t="s">
        <v>47</v>
      </c>
      <c r="I738" s="16">
        <v>3</v>
      </c>
      <c r="J738" s="16">
        <v>0</v>
      </c>
      <c r="K738" s="16">
        <f t="shared" si="13"/>
        <v>3</v>
      </c>
      <c r="L738" s="38">
        <v>15000000</v>
      </c>
      <c r="M738" s="17" t="s">
        <v>1518</v>
      </c>
      <c r="N738" s="67">
        <f>3*12*26</f>
        <v>936</v>
      </c>
      <c r="O738" s="16" t="s">
        <v>69</v>
      </c>
      <c r="P738" s="30">
        <v>140400000</v>
      </c>
      <c r="Q738" s="33" t="s">
        <v>1680</v>
      </c>
      <c r="R738" s="38">
        <f>5*12*26</f>
        <v>1560</v>
      </c>
      <c r="S738" s="16" t="s">
        <v>69</v>
      </c>
      <c r="T738" s="30">
        <v>46800000</v>
      </c>
      <c r="U738" s="16" t="s">
        <v>22</v>
      </c>
      <c r="V738" s="16">
        <v>0</v>
      </c>
      <c r="W738" s="16">
        <v>0</v>
      </c>
      <c r="X738" s="16">
        <v>0</v>
      </c>
      <c r="Y738" s="16">
        <v>50</v>
      </c>
      <c r="Z738" s="16">
        <v>50</v>
      </c>
      <c r="AA738" s="16">
        <v>0</v>
      </c>
      <c r="AB738" s="16">
        <v>0</v>
      </c>
      <c r="AC738" s="16" t="s">
        <v>1965</v>
      </c>
      <c r="AD738" s="68"/>
      <c r="AE738" s="23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</row>
    <row r="739" spans="1:84" s="2" customFormat="1" x14ac:dyDescent="0.2">
      <c r="A739" s="17" t="s">
        <v>3921</v>
      </c>
      <c r="B739" s="17" t="s">
        <v>45</v>
      </c>
      <c r="C739" s="17">
        <v>2025</v>
      </c>
      <c r="D739" s="17" t="str">
        <f t="array" ref="D739">_xlfn.SWITCH(E739,"Bagor","35.18.14","Sukomoro",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39" s="16" t="s">
        <v>162</v>
      </c>
      <c r="F739" s="33" t="s">
        <v>1769</v>
      </c>
      <c r="G739" s="33" t="s">
        <v>1966</v>
      </c>
      <c r="H739" s="16" t="s">
        <v>31</v>
      </c>
      <c r="I739" s="16">
        <v>0</v>
      </c>
      <c r="J739" s="16">
        <v>3</v>
      </c>
      <c r="K739" s="16">
        <f t="shared" si="13"/>
        <v>3</v>
      </c>
      <c r="L739" s="38">
        <v>5000000</v>
      </c>
      <c r="M739" s="17" t="s">
        <v>180</v>
      </c>
      <c r="N739" s="67">
        <f>125*12</f>
        <v>1500</v>
      </c>
      <c r="O739" s="16" t="s">
        <v>422</v>
      </c>
      <c r="P739" s="30">
        <v>10500000</v>
      </c>
      <c r="Q739" s="33" t="s">
        <v>1787</v>
      </c>
      <c r="R739" s="38">
        <f>125*12</f>
        <v>1500</v>
      </c>
      <c r="S739" s="16" t="s">
        <v>422</v>
      </c>
      <c r="T739" s="30">
        <v>5250000</v>
      </c>
      <c r="U739" s="16" t="s">
        <v>22</v>
      </c>
      <c r="V739" s="16">
        <v>0</v>
      </c>
      <c r="W739" s="16">
        <v>0</v>
      </c>
      <c r="X739" s="16">
        <v>0</v>
      </c>
      <c r="Y739" s="16">
        <v>50</v>
      </c>
      <c r="Z739" s="16">
        <v>50</v>
      </c>
      <c r="AA739" s="16">
        <v>0</v>
      </c>
      <c r="AB739" s="16">
        <v>0</v>
      </c>
      <c r="AC739" s="16"/>
      <c r="AD739" s="68"/>
      <c r="AE739" s="23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</row>
    <row r="740" spans="1:84" s="2" customFormat="1" x14ac:dyDescent="0.2">
      <c r="A740" s="17" t="s">
        <v>3921</v>
      </c>
      <c r="B740" s="17" t="s">
        <v>45</v>
      </c>
      <c r="C740" s="17">
        <v>2025</v>
      </c>
      <c r="D740" s="17" t="str">
        <f t="array" ref="D740">_xlfn.SWITCH(E740,"Bagor","35.18.14","Sukomoro",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40" s="16" t="s">
        <v>162</v>
      </c>
      <c r="F740" s="33" t="s">
        <v>1769</v>
      </c>
      <c r="G740" s="33" t="s">
        <v>1967</v>
      </c>
      <c r="H740" s="16" t="s">
        <v>31</v>
      </c>
      <c r="I740" s="16">
        <v>2</v>
      </c>
      <c r="J740" s="16">
        <v>1</v>
      </c>
      <c r="K740" s="16">
        <f t="shared" si="13"/>
        <v>3</v>
      </c>
      <c r="L740" s="38">
        <v>5000000</v>
      </c>
      <c r="M740" s="17" t="s">
        <v>180</v>
      </c>
      <c r="N740" s="67">
        <f>100*12</f>
        <v>1200</v>
      </c>
      <c r="O740" s="16" t="s">
        <v>422</v>
      </c>
      <c r="P740" s="30">
        <v>9000000</v>
      </c>
      <c r="Q740" s="33" t="s">
        <v>1787</v>
      </c>
      <c r="R740" s="38">
        <v>1200</v>
      </c>
      <c r="S740" s="16" t="s">
        <v>422</v>
      </c>
      <c r="T740" s="30">
        <v>5040000</v>
      </c>
      <c r="U740" s="16" t="s">
        <v>22</v>
      </c>
      <c r="V740" s="20" t="s">
        <v>57</v>
      </c>
      <c r="W740" s="16">
        <v>480</v>
      </c>
      <c r="X740" s="16" t="s">
        <v>51</v>
      </c>
      <c r="Y740" s="16">
        <v>35</v>
      </c>
      <c r="Z740" s="16">
        <v>35</v>
      </c>
      <c r="AA740" s="16">
        <v>30</v>
      </c>
      <c r="AB740" s="16">
        <v>0</v>
      </c>
      <c r="AC740" s="16"/>
      <c r="AD740" s="68"/>
      <c r="AE740" s="23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</row>
    <row r="741" spans="1:84" s="2" customFormat="1" x14ac:dyDescent="0.2">
      <c r="A741" s="17" t="s">
        <v>3921</v>
      </c>
      <c r="B741" s="17" t="s">
        <v>45</v>
      </c>
      <c r="C741" s="17">
        <v>2025</v>
      </c>
      <c r="D741" s="17" t="str">
        <f t="array" ref="D741">_xlfn.SWITCH(E741,"Jatikalen","35.18.20","Kertosono", "35.18.08","Lengkong","35.18.19","Loceret","35.18.04","Tanjunganom","35.18.11","Wilangan","35.18.15")</f>
        <v>35.18.11</v>
      </c>
      <c r="E741" s="16" t="s">
        <v>60</v>
      </c>
      <c r="F741" s="33" t="s">
        <v>1746</v>
      </c>
      <c r="G741" s="33" t="s">
        <v>1747</v>
      </c>
      <c r="H741" s="16" t="s">
        <v>31</v>
      </c>
      <c r="I741" s="16">
        <v>2</v>
      </c>
      <c r="J741" s="16">
        <v>0</v>
      </c>
      <c r="K741" s="16">
        <f t="shared" si="13"/>
        <v>2</v>
      </c>
      <c r="L741" s="38">
        <v>20000000</v>
      </c>
      <c r="M741" s="17" t="s">
        <v>72</v>
      </c>
      <c r="N741" s="67">
        <f>4*12</f>
        <v>48</v>
      </c>
      <c r="O741" s="16" t="s">
        <v>69</v>
      </c>
      <c r="P741" s="30">
        <v>120000000</v>
      </c>
      <c r="Q741" s="33" t="s">
        <v>1680</v>
      </c>
      <c r="R741" s="38">
        <f>4*12</f>
        <v>48</v>
      </c>
      <c r="S741" s="16" t="s">
        <v>69</v>
      </c>
      <c r="T741" s="30">
        <v>76800000</v>
      </c>
      <c r="U741" s="16" t="s">
        <v>22</v>
      </c>
      <c r="V741" s="20">
        <v>0</v>
      </c>
      <c r="W741" s="16">
        <v>0</v>
      </c>
      <c r="X741" s="16">
        <v>0</v>
      </c>
      <c r="Y741" s="16">
        <v>40</v>
      </c>
      <c r="Z741" s="16">
        <v>30</v>
      </c>
      <c r="AA741" s="16">
        <v>30</v>
      </c>
      <c r="AB741" s="16">
        <v>0</v>
      </c>
      <c r="AC741" s="16"/>
      <c r="AD741" s="68"/>
      <c r="AE741" s="23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</row>
    <row r="742" spans="1:84" s="2" customFormat="1" x14ac:dyDescent="0.2">
      <c r="A742" s="17" t="s">
        <v>3921</v>
      </c>
      <c r="B742" s="17" t="s">
        <v>45</v>
      </c>
      <c r="C742" s="17">
        <v>2025</v>
      </c>
      <c r="D742" s="17" t="str">
        <f t="array" ref="D742">_xlfn.SWITCH(E742,"Jatikalen","35.18.20","Kertosono", "35.18.08","Lengkong","35.18.19","Loceret","35.18.04","Tanjunganom","35.18.11","Wilangan","35.18.15")</f>
        <v>35.18.04</v>
      </c>
      <c r="E742" s="16" t="s">
        <v>41</v>
      </c>
      <c r="F742" s="33" t="s">
        <v>1968</v>
      </c>
      <c r="G742" s="33" t="s">
        <v>1969</v>
      </c>
      <c r="H742" s="16" t="s">
        <v>31</v>
      </c>
      <c r="I742" s="16">
        <v>6</v>
      </c>
      <c r="J742" s="16">
        <v>4</v>
      </c>
      <c r="K742" s="16">
        <f t="shared" si="13"/>
        <v>10</v>
      </c>
      <c r="L742" s="38">
        <v>1000000</v>
      </c>
      <c r="M742" s="17" t="s">
        <v>258</v>
      </c>
      <c r="N742" s="67">
        <f>50*12</f>
        <v>600</v>
      </c>
      <c r="O742" s="16" t="s">
        <v>1803</v>
      </c>
      <c r="P742" s="30">
        <v>18000000</v>
      </c>
      <c r="Q742" s="33" t="s">
        <v>1958</v>
      </c>
      <c r="R742" s="38">
        <v>300</v>
      </c>
      <c r="S742" s="16" t="s">
        <v>1130</v>
      </c>
      <c r="T742" s="30">
        <v>6600000</v>
      </c>
      <c r="U742" s="16" t="s">
        <v>22</v>
      </c>
      <c r="V742" s="20">
        <v>0</v>
      </c>
      <c r="W742" s="16">
        <v>0</v>
      </c>
      <c r="X742" s="16">
        <v>0</v>
      </c>
      <c r="Y742" s="16">
        <v>100</v>
      </c>
      <c r="Z742" s="16">
        <v>0</v>
      </c>
      <c r="AA742" s="16">
        <v>0</v>
      </c>
      <c r="AB742" s="16">
        <v>0</v>
      </c>
      <c r="AC742" s="16"/>
      <c r="AD742" s="68"/>
      <c r="AE742" s="23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</row>
    <row r="743" spans="1:84" s="2" customFormat="1" x14ac:dyDescent="0.2">
      <c r="A743" s="17" t="s">
        <v>3921</v>
      </c>
      <c r="B743" s="17" t="s">
        <v>45</v>
      </c>
      <c r="C743" s="17">
        <v>2025</v>
      </c>
      <c r="D743" s="17" t="str">
        <f t="array" ref="D743">_xlfn.SWITCH(E743,"Jatikalen","35.18.20","Kertosono", "35.18.08","Lengkong","35.18.19","Loceret","35.18.04","Tanjunganom","35.18.11","Wilangan","35.18.15")</f>
        <v>35.18.04</v>
      </c>
      <c r="E743" s="16" t="s">
        <v>41</v>
      </c>
      <c r="F743" s="33" t="s">
        <v>1970</v>
      </c>
      <c r="G743" s="33" t="s">
        <v>1971</v>
      </c>
      <c r="H743" s="16" t="s">
        <v>31</v>
      </c>
      <c r="I743" s="16">
        <v>0</v>
      </c>
      <c r="J743" s="16">
        <v>5</v>
      </c>
      <c r="K743" s="16">
        <f t="shared" si="13"/>
        <v>5</v>
      </c>
      <c r="L743" s="38">
        <v>10000000</v>
      </c>
      <c r="M743" s="17" t="s">
        <v>258</v>
      </c>
      <c r="N743" s="67">
        <f>100*12*4</f>
        <v>4800</v>
      </c>
      <c r="O743" s="16" t="s">
        <v>1803</v>
      </c>
      <c r="P743" s="30">
        <v>144000000</v>
      </c>
      <c r="Q743" s="33" t="s">
        <v>1958</v>
      </c>
      <c r="R743" s="38">
        <f>100*12</f>
        <v>1200</v>
      </c>
      <c r="S743" s="16" t="s">
        <v>1130</v>
      </c>
      <c r="T743" s="30">
        <v>84000000</v>
      </c>
      <c r="U743" s="16" t="s">
        <v>22</v>
      </c>
      <c r="V743" s="20">
        <v>0</v>
      </c>
      <c r="W743" s="16">
        <v>0</v>
      </c>
      <c r="X743" s="16">
        <v>0</v>
      </c>
      <c r="Y743" s="16">
        <v>100</v>
      </c>
      <c r="Z743" s="16">
        <v>0</v>
      </c>
      <c r="AA743" s="16">
        <v>0</v>
      </c>
      <c r="AB743" s="16">
        <v>0</v>
      </c>
      <c r="AC743" s="16"/>
      <c r="AD743" s="68"/>
      <c r="AE743" s="23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</row>
    <row r="744" spans="1:84" s="2" customFormat="1" x14ac:dyDescent="0.2">
      <c r="A744" s="17" t="s">
        <v>3921</v>
      </c>
      <c r="B744" s="17" t="s">
        <v>45</v>
      </c>
      <c r="C744" s="17">
        <v>2025</v>
      </c>
      <c r="D744" s="17" t="str">
        <f t="array" ref="D744">_xlfn.SWITCH(E744,"Jatikalen","35.18.20","Kertosono", "35.18.08","Lengkong","35.18.19","Loceret","35.18.04","Tanjunganom","35.18.11","Wilangan","35.18.15")</f>
        <v>35.18.04</v>
      </c>
      <c r="E744" s="16" t="s">
        <v>41</v>
      </c>
      <c r="F744" s="33" t="s">
        <v>1970</v>
      </c>
      <c r="G744" s="33" t="s">
        <v>1972</v>
      </c>
      <c r="H744" s="16" t="s">
        <v>31</v>
      </c>
      <c r="I744" s="16">
        <v>2</v>
      </c>
      <c r="J744" s="16">
        <v>4</v>
      </c>
      <c r="K744" s="16">
        <f t="shared" si="13"/>
        <v>6</v>
      </c>
      <c r="L744" s="38">
        <v>10000000</v>
      </c>
      <c r="M744" s="17" t="s">
        <v>258</v>
      </c>
      <c r="N744" s="67">
        <f>200*12</f>
        <v>2400</v>
      </c>
      <c r="O744" s="16" t="s">
        <v>1803</v>
      </c>
      <c r="P744" s="30">
        <v>72000000</v>
      </c>
      <c r="Q744" s="33" t="s">
        <v>1958</v>
      </c>
      <c r="R744" s="38">
        <f>25*12*4</f>
        <v>1200</v>
      </c>
      <c r="S744" s="16" t="s">
        <v>1130</v>
      </c>
      <c r="T744" s="30">
        <v>36000000</v>
      </c>
      <c r="U744" s="16" t="s">
        <v>22</v>
      </c>
      <c r="V744" s="20">
        <v>0</v>
      </c>
      <c r="W744" s="16">
        <v>0</v>
      </c>
      <c r="X744" s="16">
        <v>0</v>
      </c>
      <c r="Y744" s="16">
        <v>100</v>
      </c>
      <c r="Z744" s="16">
        <v>0</v>
      </c>
      <c r="AA744" s="16">
        <v>0</v>
      </c>
      <c r="AB744" s="16">
        <v>0</v>
      </c>
      <c r="AC744" s="16"/>
      <c r="AD744" s="68"/>
      <c r="AE744" s="23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</row>
    <row r="745" spans="1:84" s="2" customFormat="1" x14ac:dyDescent="0.2">
      <c r="A745" s="17" t="s">
        <v>3921</v>
      </c>
      <c r="B745" s="17" t="s">
        <v>45</v>
      </c>
      <c r="C745" s="17">
        <v>2025</v>
      </c>
      <c r="D745" s="17" t="str">
        <f t="array" ref="D745">_xlfn.SWITCH(E745,"Jatikalen","35.18.20","Kertosono", "35.18.08","Lengkong","35.18.19","Loceret","35.18.04","Tanjunganom","35.18.11","Wilangan","35.18.15")</f>
        <v>35.18.04</v>
      </c>
      <c r="E745" s="16" t="s">
        <v>41</v>
      </c>
      <c r="F745" s="33" t="s">
        <v>1970</v>
      </c>
      <c r="G745" s="33" t="s">
        <v>1973</v>
      </c>
      <c r="H745" s="16" t="s">
        <v>31</v>
      </c>
      <c r="I745" s="16">
        <v>5</v>
      </c>
      <c r="J745" s="16">
        <v>10</v>
      </c>
      <c r="K745" s="16">
        <f t="shared" si="13"/>
        <v>15</v>
      </c>
      <c r="L745" s="38">
        <v>200000000</v>
      </c>
      <c r="M745" s="17" t="s">
        <v>258</v>
      </c>
      <c r="N745" s="67">
        <f>200*12*4</f>
        <v>9600</v>
      </c>
      <c r="O745" s="16" t="s">
        <v>1803</v>
      </c>
      <c r="P745" s="30">
        <v>288000000</v>
      </c>
      <c r="Q745" s="33" t="s">
        <v>1958</v>
      </c>
      <c r="R745" s="38">
        <v>780</v>
      </c>
      <c r="S745" s="16" t="s">
        <v>1130</v>
      </c>
      <c r="T745" s="30">
        <v>136500000</v>
      </c>
      <c r="U745" s="16" t="s">
        <v>22</v>
      </c>
      <c r="V745" s="20">
        <v>0</v>
      </c>
      <c r="W745" s="16">
        <v>0</v>
      </c>
      <c r="X745" s="16">
        <v>0</v>
      </c>
      <c r="Y745" s="16">
        <v>65</v>
      </c>
      <c r="Z745" s="16">
        <v>35</v>
      </c>
      <c r="AA745" s="16">
        <v>0</v>
      </c>
      <c r="AB745" s="16">
        <v>0</v>
      </c>
      <c r="AC745" s="16"/>
      <c r="AD745" s="68"/>
      <c r="AE745" s="23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</row>
    <row r="746" spans="1:84" s="2" customFormat="1" x14ac:dyDescent="0.2">
      <c r="A746" s="17" t="s">
        <v>3921</v>
      </c>
      <c r="B746" s="17" t="s">
        <v>45</v>
      </c>
      <c r="C746" s="17">
        <v>2025</v>
      </c>
      <c r="D746" s="17" t="str">
        <f t="array" ref="D746">_xlfn.SWITCH(E746,"Jatikalen","35.18.20","Kertosono", "35.18.08","Lengkong","35.18.19","Loceret","35.18.04","Tanjunganom","35.18.11","Wilangan","35.18.15")</f>
        <v>35.18.20</v>
      </c>
      <c r="E746" s="16" t="s">
        <v>1083</v>
      </c>
      <c r="F746" s="33" t="s">
        <v>1974</v>
      </c>
      <c r="G746" s="33" t="s">
        <v>1975</v>
      </c>
      <c r="H746" s="16" t="s">
        <v>31</v>
      </c>
      <c r="I746" s="16">
        <v>0</v>
      </c>
      <c r="J746" s="16">
        <v>1</v>
      </c>
      <c r="K746" s="16">
        <f t="shared" si="13"/>
        <v>1</v>
      </c>
      <c r="L746" s="38">
        <v>1000000</v>
      </c>
      <c r="M746" s="17" t="s">
        <v>1976</v>
      </c>
      <c r="N746" s="67">
        <f>3*4*12</f>
        <v>144</v>
      </c>
      <c r="O746" s="16" t="s">
        <v>1116</v>
      </c>
      <c r="P746" s="30">
        <v>32400000</v>
      </c>
      <c r="Q746" s="33" t="s">
        <v>1977</v>
      </c>
      <c r="R746" s="38">
        <v>150</v>
      </c>
      <c r="S746" s="16" t="s">
        <v>1978</v>
      </c>
      <c r="T746" s="30">
        <v>15750000</v>
      </c>
      <c r="U746" s="16" t="s">
        <v>22</v>
      </c>
      <c r="V746" s="20">
        <v>0</v>
      </c>
      <c r="W746" s="16">
        <v>0</v>
      </c>
      <c r="X746" s="16">
        <v>0</v>
      </c>
      <c r="Y746" s="16">
        <v>70</v>
      </c>
      <c r="Z746" s="16">
        <v>30</v>
      </c>
      <c r="AA746" s="16">
        <v>0</v>
      </c>
      <c r="AB746" s="16">
        <v>0</v>
      </c>
      <c r="AC746" s="16"/>
      <c r="AD746" s="68"/>
      <c r="AE746" s="23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</row>
    <row r="747" spans="1:84" s="2" customFormat="1" ht="20" x14ac:dyDescent="0.2">
      <c r="A747" s="17" t="s">
        <v>3921</v>
      </c>
      <c r="B747" s="17" t="s">
        <v>45</v>
      </c>
      <c r="C747" s="17">
        <v>2025</v>
      </c>
      <c r="D747" s="17" t="str">
        <f t="array" ref="D747">_xlfn.SWITCH(E747,"Jatikalen","35.18.20","Kertosono", "35.18.08","Lengkong","35.18.19","Loceret","35.18.04","Tanjunganom","35.18.11","Wilangan","35.18.15")</f>
        <v>35.18.20</v>
      </c>
      <c r="E747" s="16" t="s">
        <v>1083</v>
      </c>
      <c r="F747" s="33" t="s">
        <v>1979</v>
      </c>
      <c r="G747" s="33" t="s">
        <v>1980</v>
      </c>
      <c r="H747" s="16" t="s">
        <v>31</v>
      </c>
      <c r="I747" s="16">
        <v>2</v>
      </c>
      <c r="J747" s="16">
        <v>1</v>
      </c>
      <c r="K747" s="16">
        <f t="shared" si="13"/>
        <v>3</v>
      </c>
      <c r="L747" s="38">
        <v>3000000</v>
      </c>
      <c r="M747" s="17" t="s">
        <v>1981</v>
      </c>
      <c r="N747" s="67">
        <v>90</v>
      </c>
      <c r="O747" s="16" t="s">
        <v>1474</v>
      </c>
      <c r="P747" s="30">
        <v>55296000</v>
      </c>
      <c r="Q747" s="33" t="s">
        <v>1982</v>
      </c>
      <c r="R747" s="38">
        <v>200</v>
      </c>
      <c r="S747" s="16" t="s">
        <v>1368</v>
      </c>
      <c r="T747" s="30">
        <v>17280000</v>
      </c>
      <c r="U747" s="16" t="s">
        <v>22</v>
      </c>
      <c r="V747" s="20">
        <v>0</v>
      </c>
      <c r="W747" s="16">
        <v>0</v>
      </c>
      <c r="X747" s="16">
        <v>0</v>
      </c>
      <c r="Y747" s="16">
        <v>75</v>
      </c>
      <c r="Z747" s="16">
        <v>25</v>
      </c>
      <c r="AA747" s="16">
        <v>0</v>
      </c>
      <c r="AB747" s="16">
        <v>0</v>
      </c>
      <c r="AC747" s="16"/>
      <c r="AD747" s="68"/>
      <c r="AE747" s="23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</row>
    <row r="748" spans="1:84" s="2" customFormat="1" x14ac:dyDescent="0.2">
      <c r="A748" s="17" t="s">
        <v>3921</v>
      </c>
      <c r="B748" s="17" t="s">
        <v>45</v>
      </c>
      <c r="C748" s="17">
        <v>2025</v>
      </c>
      <c r="D748" s="17" t="str">
        <f t="array" ref="D748">_xlfn.SWITCH(E748,"Jatikalen","35.18.20","Kertosono", "35.18.08","Lengkong","35.18.19","Loceret","35.18.04","Tanjunganom","35.18.11","Wilangan","35.18.15")</f>
        <v>35.18.20</v>
      </c>
      <c r="E748" s="16" t="s">
        <v>1083</v>
      </c>
      <c r="F748" s="33" t="s">
        <v>1983</v>
      </c>
      <c r="G748" s="33" t="s">
        <v>1984</v>
      </c>
      <c r="H748" s="16" t="s">
        <v>31</v>
      </c>
      <c r="I748" s="16">
        <v>1</v>
      </c>
      <c r="J748" s="16">
        <v>1</v>
      </c>
      <c r="K748" s="16">
        <f t="shared" si="13"/>
        <v>2</v>
      </c>
      <c r="L748" s="38">
        <v>30000000</v>
      </c>
      <c r="M748" s="17" t="s">
        <v>1120</v>
      </c>
      <c r="N748" s="67">
        <f>40*12*26</f>
        <v>12480</v>
      </c>
      <c r="O748" s="16" t="s">
        <v>422</v>
      </c>
      <c r="P748" s="30">
        <v>124800000</v>
      </c>
      <c r="Q748" s="33" t="s">
        <v>1642</v>
      </c>
      <c r="R748" s="38">
        <v>12</v>
      </c>
      <c r="S748" s="16" t="s">
        <v>962</v>
      </c>
      <c r="T748" s="30">
        <v>72000000</v>
      </c>
      <c r="U748" s="16" t="s">
        <v>22</v>
      </c>
      <c r="V748" s="20">
        <v>0</v>
      </c>
      <c r="W748" s="16">
        <v>0</v>
      </c>
      <c r="X748" s="16">
        <v>0</v>
      </c>
      <c r="Y748" s="16">
        <v>60</v>
      </c>
      <c r="Z748" s="16">
        <v>40</v>
      </c>
      <c r="AA748" s="16">
        <v>0</v>
      </c>
      <c r="AB748" s="16">
        <v>0</v>
      </c>
      <c r="AC748" s="16"/>
      <c r="AD748" s="68"/>
      <c r="AE748" s="23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</row>
    <row r="749" spans="1:84" s="2" customFormat="1" x14ac:dyDescent="0.2">
      <c r="A749" s="17" t="s">
        <v>3921</v>
      </c>
      <c r="B749" s="17" t="s">
        <v>45</v>
      </c>
      <c r="C749" s="17">
        <v>2025</v>
      </c>
      <c r="D749" s="17" t="str">
        <f t="array" ref="D749">_xlfn.SWITCH(E749,"Jatikalen","35.18.20","Kertosono", "35.18.08","Lengkong","35.18.19","Loceret","35.18.04","Tanjunganom","35.18.11","Wilangan","35.18.15")</f>
        <v>35.18.20</v>
      </c>
      <c r="E749" s="16" t="s">
        <v>1083</v>
      </c>
      <c r="F749" s="33" t="s">
        <v>1985</v>
      </c>
      <c r="G749" s="33" t="s">
        <v>1986</v>
      </c>
      <c r="H749" s="16" t="s">
        <v>31</v>
      </c>
      <c r="I749" s="16">
        <v>0</v>
      </c>
      <c r="J749" s="16">
        <v>1</v>
      </c>
      <c r="K749" s="16">
        <f t="shared" si="13"/>
        <v>1</v>
      </c>
      <c r="L749" s="38">
        <v>1000000</v>
      </c>
      <c r="M749" s="17" t="s">
        <v>1976</v>
      </c>
      <c r="N749" s="67">
        <v>144</v>
      </c>
      <c r="O749" s="16" t="s">
        <v>1116</v>
      </c>
      <c r="P749" s="30">
        <v>2160000</v>
      </c>
      <c r="Q749" s="33" t="s">
        <v>1977</v>
      </c>
      <c r="R749" s="38">
        <v>144</v>
      </c>
      <c r="S749" s="16" t="s">
        <v>1978</v>
      </c>
      <c r="T749" s="30">
        <v>1008000</v>
      </c>
      <c r="U749" s="16" t="s">
        <v>22</v>
      </c>
      <c r="V749" s="20">
        <v>0</v>
      </c>
      <c r="W749" s="16">
        <v>0</v>
      </c>
      <c r="X749" s="16">
        <v>0</v>
      </c>
      <c r="Y749" s="16">
        <v>65</v>
      </c>
      <c r="Z749" s="16">
        <v>35</v>
      </c>
      <c r="AA749" s="16">
        <v>0</v>
      </c>
      <c r="AB749" s="16">
        <v>0</v>
      </c>
      <c r="AC749" s="16"/>
      <c r="AD749" s="68"/>
      <c r="AE749" s="23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</row>
    <row r="750" spans="1:84" s="2" customFormat="1" x14ac:dyDescent="0.2">
      <c r="A750" s="17" t="s">
        <v>3921</v>
      </c>
      <c r="B750" s="17" t="s">
        <v>45</v>
      </c>
      <c r="C750" s="17">
        <v>2025</v>
      </c>
      <c r="D750" s="17" t="str">
        <f t="array" ref="D750">_xlfn.SWITCH(E750,"Jatikalen","35.18.20","Kertosono", "35.18.08","Lengkong","35.18.19","Loceret","35.18.04","Tanjunganom","35.18.11","Wilangan","35.18.15")</f>
        <v>35.18.20</v>
      </c>
      <c r="E750" s="16" t="s">
        <v>1083</v>
      </c>
      <c r="F750" s="33" t="s">
        <v>1974</v>
      </c>
      <c r="G750" s="33" t="s">
        <v>1987</v>
      </c>
      <c r="H750" s="16" t="s">
        <v>31</v>
      </c>
      <c r="I750" s="16">
        <v>0</v>
      </c>
      <c r="J750" s="16">
        <v>1</v>
      </c>
      <c r="K750" s="16">
        <f t="shared" si="13"/>
        <v>1</v>
      </c>
      <c r="L750" s="38">
        <v>1000000</v>
      </c>
      <c r="M750" s="17" t="s">
        <v>1976</v>
      </c>
      <c r="N750" s="67">
        <v>144</v>
      </c>
      <c r="O750" s="16" t="s">
        <v>1116</v>
      </c>
      <c r="P750" s="30">
        <v>2160000</v>
      </c>
      <c r="Q750" s="33" t="s">
        <v>1977</v>
      </c>
      <c r="R750" s="38">
        <v>150</v>
      </c>
      <c r="S750" s="16" t="s">
        <v>1978</v>
      </c>
      <c r="T750" s="30">
        <v>1200000</v>
      </c>
      <c r="U750" s="16" t="s">
        <v>22</v>
      </c>
      <c r="V750" s="20">
        <v>0</v>
      </c>
      <c r="W750" s="16">
        <v>0</v>
      </c>
      <c r="X750" s="16">
        <v>0</v>
      </c>
      <c r="Y750" s="16">
        <v>65</v>
      </c>
      <c r="Z750" s="16">
        <v>35</v>
      </c>
      <c r="AA750" s="16">
        <v>0</v>
      </c>
      <c r="AB750" s="16">
        <v>0</v>
      </c>
      <c r="AC750" s="16"/>
      <c r="AD750" s="68"/>
      <c r="AE750" s="23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</row>
    <row r="751" spans="1:84" s="2" customFormat="1" x14ac:dyDescent="0.2">
      <c r="A751" s="17" t="s">
        <v>3921</v>
      </c>
      <c r="B751" s="17" t="s">
        <v>45</v>
      </c>
      <c r="C751" s="17">
        <v>2025</v>
      </c>
      <c r="D751" s="17" t="str">
        <f t="array" ref="D751">_xlfn.SWITCH(E751,"Jatikalen","35.18.20","Kertosono", "35.18.08","Lengkong","35.18.19","Loceret","35.18.04","Tanjunganom","35.18.11","Wilangan","35.18.15")</f>
        <v>35.18.08</v>
      </c>
      <c r="E751" s="16" t="s">
        <v>128</v>
      </c>
      <c r="F751" s="33" t="s">
        <v>1988</v>
      </c>
      <c r="G751" s="33" t="s">
        <v>1989</v>
      </c>
      <c r="H751" s="16" t="s">
        <v>31</v>
      </c>
      <c r="I751" s="16">
        <v>1</v>
      </c>
      <c r="J751" s="16">
        <v>1</v>
      </c>
      <c r="K751" s="16">
        <f t="shared" si="13"/>
        <v>2</v>
      </c>
      <c r="L751" s="38">
        <v>25000000</v>
      </c>
      <c r="M751" s="17" t="s">
        <v>1120</v>
      </c>
      <c r="N751" s="67">
        <f>22*12*26</f>
        <v>6864</v>
      </c>
      <c r="O751" s="16" t="s">
        <v>422</v>
      </c>
      <c r="P751" s="30">
        <v>68640000</v>
      </c>
      <c r="Q751" s="33" t="s">
        <v>1642</v>
      </c>
      <c r="R751" s="38">
        <f>22*12*26</f>
        <v>6864</v>
      </c>
      <c r="S751" s="16" t="s">
        <v>422</v>
      </c>
      <c r="T751" s="30">
        <v>43929600</v>
      </c>
      <c r="U751" s="16" t="s">
        <v>22</v>
      </c>
      <c r="V751" s="20">
        <v>0</v>
      </c>
      <c r="W751" s="16">
        <v>0</v>
      </c>
      <c r="X751" s="16">
        <v>0</v>
      </c>
      <c r="Y751" s="16">
        <v>75</v>
      </c>
      <c r="Z751" s="16">
        <v>25</v>
      </c>
      <c r="AA751" s="16">
        <v>0</v>
      </c>
      <c r="AB751" s="16">
        <v>0</v>
      </c>
      <c r="AC751" s="16"/>
      <c r="AD751" s="68"/>
      <c r="AE751" s="23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</row>
    <row r="752" spans="1:84" s="2" customFormat="1" x14ac:dyDescent="0.2">
      <c r="A752" s="17" t="s">
        <v>3921</v>
      </c>
      <c r="B752" s="17" t="s">
        <v>45</v>
      </c>
      <c r="C752" s="17">
        <v>2025</v>
      </c>
      <c r="D752" s="17" t="str">
        <f t="array" ref="D752">_xlfn.SWITCH(E752,"Bagor","35.18.14","Sukomoro",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52" s="16" t="s">
        <v>92</v>
      </c>
      <c r="F752" s="33" t="s">
        <v>1648</v>
      </c>
      <c r="G752" s="33" t="s">
        <v>1990</v>
      </c>
      <c r="H752" s="16" t="s">
        <v>31</v>
      </c>
      <c r="I752" s="16">
        <v>1</v>
      </c>
      <c r="J752" s="16">
        <v>1</v>
      </c>
      <c r="K752" s="16">
        <f t="shared" si="13"/>
        <v>2</v>
      </c>
      <c r="L752" s="38">
        <v>10000000</v>
      </c>
      <c r="M752" s="17" t="s">
        <v>1120</v>
      </c>
      <c r="N752" s="67">
        <f>7*12*26</f>
        <v>2184</v>
      </c>
      <c r="O752" s="16" t="s">
        <v>422</v>
      </c>
      <c r="P752" s="30">
        <v>21840000</v>
      </c>
      <c r="Q752" s="33" t="s">
        <v>1642</v>
      </c>
      <c r="R752" s="38">
        <f>7*12*26</f>
        <v>2184</v>
      </c>
      <c r="S752" s="16" t="s">
        <v>422</v>
      </c>
      <c r="T752" s="30">
        <v>13977600</v>
      </c>
      <c r="U752" s="16" t="s">
        <v>22</v>
      </c>
      <c r="V752" s="20" t="s">
        <v>57</v>
      </c>
      <c r="W752" s="16">
        <v>1370</v>
      </c>
      <c r="X752" s="16" t="s">
        <v>51</v>
      </c>
      <c r="Y752" s="16">
        <v>65</v>
      </c>
      <c r="Z752" s="16">
        <v>35</v>
      </c>
      <c r="AA752" s="16">
        <v>0</v>
      </c>
      <c r="AB752" s="16">
        <v>0</v>
      </c>
      <c r="AC752" s="16"/>
      <c r="AD752" s="68"/>
      <c r="AE752" s="23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</row>
    <row r="753" spans="1:84" s="2" customFormat="1" x14ac:dyDescent="0.2">
      <c r="A753" s="17" t="s">
        <v>3921</v>
      </c>
      <c r="B753" s="17" t="s">
        <v>45</v>
      </c>
      <c r="C753" s="17">
        <v>2025</v>
      </c>
      <c r="D753" s="17" t="str">
        <f t="array" ref="D753">_xlfn.SWITCH(E753,"Jatikalen","35.18.20","Kertosono", "35.18.08","Lengkong","35.18.19","Loceret","35.18.04","Tanjunganom","35.18.11","Wilangan","35.18.15")</f>
        <v>35.18.08</v>
      </c>
      <c r="E753" s="16" t="s">
        <v>128</v>
      </c>
      <c r="F753" s="33" t="s">
        <v>1988</v>
      </c>
      <c r="G753" s="33" t="s">
        <v>1827</v>
      </c>
      <c r="H753" s="16" t="s">
        <v>31</v>
      </c>
      <c r="I753" s="16">
        <v>1</v>
      </c>
      <c r="J753" s="16">
        <v>0</v>
      </c>
      <c r="K753" s="16">
        <f t="shared" si="13"/>
        <v>1</v>
      </c>
      <c r="L753" s="38">
        <v>180000</v>
      </c>
      <c r="M753" s="17" t="s">
        <v>1120</v>
      </c>
      <c r="N753" s="67">
        <f>30</f>
        <v>30</v>
      </c>
      <c r="O753" s="16" t="s">
        <v>422</v>
      </c>
      <c r="P753" s="30">
        <v>300000</v>
      </c>
      <c r="Q753" s="33" t="s">
        <v>1642</v>
      </c>
      <c r="R753" s="38">
        <f>30</f>
        <v>30</v>
      </c>
      <c r="S753" s="16" t="s">
        <v>422</v>
      </c>
      <c r="T753" s="30">
        <v>180000</v>
      </c>
      <c r="U753" s="16" t="s">
        <v>22</v>
      </c>
      <c r="V753" s="20" t="s">
        <v>57</v>
      </c>
      <c r="W753" s="16">
        <v>12</v>
      </c>
      <c r="X753" s="16" t="s">
        <v>51</v>
      </c>
      <c r="Y753" s="16">
        <v>60</v>
      </c>
      <c r="Z753" s="16">
        <v>40</v>
      </c>
      <c r="AA753" s="16">
        <v>0</v>
      </c>
      <c r="AB753" s="16">
        <v>0</v>
      </c>
      <c r="AC753" s="16"/>
      <c r="AD753" s="68"/>
      <c r="AE753" s="23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</row>
    <row r="754" spans="1:84" s="2" customFormat="1" x14ac:dyDescent="0.2">
      <c r="A754" s="17" t="s">
        <v>3921</v>
      </c>
      <c r="B754" s="17" t="s">
        <v>45</v>
      </c>
      <c r="C754" s="17">
        <v>2025</v>
      </c>
      <c r="D754" s="17" t="str">
        <f t="array" ref="D754">_xlfn.SWITCH(E754,"Bagor","35.18.14","Sukomoro",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54" s="16" t="s">
        <v>92</v>
      </c>
      <c r="F754" s="33" t="s">
        <v>1648</v>
      </c>
      <c r="G754" s="33" t="s">
        <v>1991</v>
      </c>
      <c r="H754" s="16" t="s">
        <v>31</v>
      </c>
      <c r="I754" s="16">
        <v>1</v>
      </c>
      <c r="J754" s="16">
        <v>0</v>
      </c>
      <c r="K754" s="16">
        <f t="shared" si="13"/>
        <v>1</v>
      </c>
      <c r="L754" s="38">
        <v>300000</v>
      </c>
      <c r="M754" s="17" t="s">
        <v>1120</v>
      </c>
      <c r="N754" s="67">
        <v>25</v>
      </c>
      <c r="O754" s="16" t="s">
        <v>422</v>
      </c>
      <c r="P754" s="30">
        <v>250000</v>
      </c>
      <c r="Q754" s="33" t="s">
        <v>1642</v>
      </c>
      <c r="R754" s="38">
        <v>25</v>
      </c>
      <c r="S754" s="16" t="s">
        <v>422</v>
      </c>
      <c r="T754" s="30">
        <v>167500</v>
      </c>
      <c r="U754" s="16" t="s">
        <v>22</v>
      </c>
      <c r="V754" s="20" t="s">
        <v>57</v>
      </c>
      <c r="W754" s="16">
        <v>16</v>
      </c>
      <c r="X754" s="16" t="s">
        <v>51</v>
      </c>
      <c r="Y754" s="16">
        <v>65</v>
      </c>
      <c r="Z754" s="16">
        <v>35</v>
      </c>
      <c r="AA754" s="16">
        <v>0</v>
      </c>
      <c r="AB754" s="16">
        <v>0</v>
      </c>
      <c r="AC754" s="16"/>
      <c r="AD754" s="68"/>
      <c r="AE754" s="23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</row>
    <row r="755" spans="1:84" s="2" customFormat="1" x14ac:dyDescent="0.2">
      <c r="A755" s="17" t="s">
        <v>3921</v>
      </c>
      <c r="B755" s="17" t="s">
        <v>45</v>
      </c>
      <c r="C755" s="17">
        <v>2025</v>
      </c>
      <c r="D755" s="17" t="str">
        <f t="array" ref="D755">_xlfn.SWITCH(E755,"Jatikalen","35.18.20","Kertosono", "35.18.08","Lengkong","35.18.19","Loceret","35.18.04","Tanjunganom","35.18.11","Wilangan","35.18.15")</f>
        <v>35.18.08</v>
      </c>
      <c r="E755" s="16" t="s">
        <v>128</v>
      </c>
      <c r="F755" s="33" t="s">
        <v>1988</v>
      </c>
      <c r="G755" s="33" t="s">
        <v>1992</v>
      </c>
      <c r="H755" s="16" t="s">
        <v>31</v>
      </c>
      <c r="I755" s="16">
        <v>3</v>
      </c>
      <c r="J755" s="16">
        <v>1</v>
      </c>
      <c r="K755" s="16">
        <f t="shared" si="13"/>
        <v>4</v>
      </c>
      <c r="L755" s="38">
        <v>600000</v>
      </c>
      <c r="M755" s="17" t="s">
        <v>1120</v>
      </c>
      <c r="N755" s="67">
        <v>100</v>
      </c>
      <c r="O755" s="16" t="s">
        <v>422</v>
      </c>
      <c r="P755" s="30">
        <v>1000000</v>
      </c>
      <c r="Q755" s="33" t="s">
        <v>1642</v>
      </c>
      <c r="R755" s="38">
        <v>100</v>
      </c>
      <c r="S755" s="16" t="s">
        <v>422</v>
      </c>
      <c r="T755" s="30">
        <v>600000</v>
      </c>
      <c r="U755" s="16" t="s">
        <v>22</v>
      </c>
      <c r="V755" s="20">
        <v>0</v>
      </c>
      <c r="W755" s="16">
        <v>0</v>
      </c>
      <c r="X755" s="16">
        <v>0</v>
      </c>
      <c r="Y755" s="16">
        <v>70</v>
      </c>
      <c r="Z755" s="16">
        <v>30</v>
      </c>
      <c r="AA755" s="16">
        <v>0</v>
      </c>
      <c r="AB755" s="16">
        <v>0</v>
      </c>
      <c r="AC755" s="16"/>
      <c r="AD755" s="68"/>
      <c r="AE755" s="23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</row>
    <row r="756" spans="1:84" s="2" customFormat="1" x14ac:dyDescent="0.2">
      <c r="A756" s="17" t="s">
        <v>3921</v>
      </c>
      <c r="B756" s="17" t="s">
        <v>45</v>
      </c>
      <c r="C756" s="17">
        <v>2025</v>
      </c>
      <c r="D756" s="17" t="str">
        <f t="array" ref="D756">_xlfn.SWITCH(E756,"Bagor","35.18.14","Sukomoro",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56" s="16" t="s">
        <v>92</v>
      </c>
      <c r="F756" s="33" t="s">
        <v>1648</v>
      </c>
      <c r="G756" s="33" t="s">
        <v>1993</v>
      </c>
      <c r="H756" s="16" t="s">
        <v>31</v>
      </c>
      <c r="I756" s="16">
        <v>1</v>
      </c>
      <c r="J756" s="16">
        <v>2</v>
      </c>
      <c r="K756" s="16">
        <f t="shared" si="13"/>
        <v>3</v>
      </c>
      <c r="L756" s="38">
        <v>550000</v>
      </c>
      <c r="M756" s="17" t="s">
        <v>1120</v>
      </c>
      <c r="N756" s="67">
        <v>90</v>
      </c>
      <c r="O756" s="16" t="s">
        <v>422</v>
      </c>
      <c r="P756" s="30">
        <v>900000</v>
      </c>
      <c r="Q756" s="33" t="s">
        <v>1642</v>
      </c>
      <c r="R756" s="38">
        <v>90</v>
      </c>
      <c r="S756" s="16" t="s">
        <v>422</v>
      </c>
      <c r="T756" s="30">
        <v>612000</v>
      </c>
      <c r="U756" s="16" t="s">
        <v>22</v>
      </c>
      <c r="V756" s="20">
        <v>0</v>
      </c>
      <c r="W756" s="16">
        <v>0</v>
      </c>
      <c r="X756" s="16">
        <v>0</v>
      </c>
      <c r="Y756" s="16">
        <v>90</v>
      </c>
      <c r="Z756" s="16">
        <v>10</v>
      </c>
      <c r="AA756" s="16">
        <v>0</v>
      </c>
      <c r="AB756" s="16">
        <v>0</v>
      </c>
      <c r="AC756" s="16"/>
      <c r="AD756" s="68"/>
      <c r="AE756" s="23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</row>
    <row r="757" spans="1:84" s="2" customFormat="1" x14ac:dyDescent="0.2">
      <c r="A757" s="17" t="s">
        <v>3921</v>
      </c>
      <c r="B757" s="17" t="s">
        <v>45</v>
      </c>
      <c r="C757" s="17">
        <v>2025</v>
      </c>
      <c r="D757" s="17" t="str">
        <f t="array" ref="D757">_xlfn.SWITCH(E757,"Bagor","35.18.14","Sukomoro",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57" s="16" t="s">
        <v>162</v>
      </c>
      <c r="F757" s="33" t="s">
        <v>1471</v>
      </c>
      <c r="G757" s="33" t="s">
        <v>1747</v>
      </c>
      <c r="H757" s="16" t="s">
        <v>31</v>
      </c>
      <c r="I757" s="16">
        <v>4</v>
      </c>
      <c r="J757" s="16">
        <v>2</v>
      </c>
      <c r="K757" s="16">
        <f t="shared" si="13"/>
        <v>6</v>
      </c>
      <c r="L757" s="38">
        <v>45000000</v>
      </c>
      <c r="M757" s="17" t="s">
        <v>1232</v>
      </c>
      <c r="N757" s="67">
        <f>20*12*26</f>
        <v>6240</v>
      </c>
      <c r="O757" s="16" t="s">
        <v>1130</v>
      </c>
      <c r="P757" s="30">
        <v>156000000</v>
      </c>
      <c r="Q757" s="33" t="s">
        <v>1946</v>
      </c>
      <c r="R757" s="38">
        <f>3*12*26</f>
        <v>936</v>
      </c>
      <c r="S757" s="16" t="s">
        <v>1398</v>
      </c>
      <c r="T757" s="30">
        <v>74880000</v>
      </c>
      <c r="U757" s="16" t="s">
        <v>22</v>
      </c>
      <c r="V757" s="20">
        <v>0</v>
      </c>
      <c r="W757" s="16">
        <v>0</v>
      </c>
      <c r="X757" s="16">
        <v>0</v>
      </c>
      <c r="Y757" s="16">
        <v>80</v>
      </c>
      <c r="Z757" s="16">
        <v>20</v>
      </c>
      <c r="AA757" s="16">
        <v>0</v>
      </c>
      <c r="AB757" s="16">
        <v>0</v>
      </c>
      <c r="AC757" s="16"/>
      <c r="AD757" s="68"/>
      <c r="AE757" s="23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</row>
    <row r="758" spans="1:84" s="2" customFormat="1" x14ac:dyDescent="0.2">
      <c r="A758" s="17" t="s">
        <v>3921</v>
      </c>
      <c r="B758" s="17" t="s">
        <v>45</v>
      </c>
      <c r="C758" s="17">
        <v>2025</v>
      </c>
      <c r="D758" s="17" t="str">
        <f t="array" ref="D758">_xlfn.SWITCH(E758,"Bagor","35.18.14","Sukomoro",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58" s="16" t="s">
        <v>92</v>
      </c>
      <c r="F758" s="33" t="s">
        <v>1188</v>
      </c>
      <c r="G758" s="33" t="s">
        <v>1994</v>
      </c>
      <c r="H758" s="16" t="s">
        <v>31</v>
      </c>
      <c r="I758" s="16">
        <v>7</v>
      </c>
      <c r="J758" s="16">
        <v>8</v>
      </c>
      <c r="K758" s="16">
        <f t="shared" si="13"/>
        <v>15</v>
      </c>
      <c r="L758" s="38">
        <v>5000000</v>
      </c>
      <c r="M758" s="17" t="s">
        <v>190</v>
      </c>
      <c r="N758" s="67">
        <f>2*12*26</f>
        <v>624</v>
      </c>
      <c r="O758" s="16" t="s">
        <v>1238</v>
      </c>
      <c r="P758" s="30">
        <v>199680000</v>
      </c>
      <c r="Q758" s="33" t="s">
        <v>1995</v>
      </c>
      <c r="R758" s="38">
        <f>2*12*13</f>
        <v>312</v>
      </c>
      <c r="S758" s="16" t="s">
        <v>1238</v>
      </c>
      <c r="T758" s="30">
        <v>24960000</v>
      </c>
      <c r="U758" s="16" t="s">
        <v>22</v>
      </c>
      <c r="V758" s="20" t="s">
        <v>57</v>
      </c>
      <c r="W758" s="16">
        <v>112</v>
      </c>
      <c r="X758" s="16" t="s">
        <v>51</v>
      </c>
      <c r="Y758" s="16">
        <v>35</v>
      </c>
      <c r="Z758" s="16">
        <v>35</v>
      </c>
      <c r="AA758" s="16">
        <v>30</v>
      </c>
      <c r="AB758" s="16">
        <v>0</v>
      </c>
      <c r="AC758" s="16"/>
      <c r="AD758" s="68"/>
      <c r="AE758" s="23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</row>
    <row r="759" spans="1:84" s="2" customFormat="1" x14ac:dyDescent="0.2">
      <c r="A759" s="17" t="s">
        <v>3921</v>
      </c>
      <c r="B759" s="17" t="s">
        <v>45</v>
      </c>
      <c r="C759" s="17">
        <v>2025</v>
      </c>
      <c r="D759" s="17" t="str">
        <f t="array" ref="D759">_xlfn.SWITCH(E759,"Bagor","35.18.14","Sukomoro",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59" s="16" t="s">
        <v>71</v>
      </c>
      <c r="F759" s="33" t="s">
        <v>1996</v>
      </c>
      <c r="G759" s="33" t="s">
        <v>1997</v>
      </c>
      <c r="H759" s="16" t="s">
        <v>31</v>
      </c>
      <c r="I759" s="16">
        <v>6</v>
      </c>
      <c r="J759" s="16">
        <v>0</v>
      </c>
      <c r="K759" s="16">
        <f t="shared" si="13"/>
        <v>6</v>
      </c>
      <c r="L759" s="38">
        <v>20000000</v>
      </c>
      <c r="M759" s="17" t="s">
        <v>354</v>
      </c>
      <c r="N759" s="67">
        <v>468000</v>
      </c>
      <c r="O759" s="16" t="s">
        <v>422</v>
      </c>
      <c r="P759" s="30">
        <v>397800000</v>
      </c>
      <c r="Q759" s="33" t="s">
        <v>1707</v>
      </c>
      <c r="R759" s="38">
        <f>1.5*12*26</f>
        <v>468</v>
      </c>
      <c r="S759" s="16" t="s">
        <v>962</v>
      </c>
      <c r="T759" s="30">
        <v>46800000</v>
      </c>
      <c r="U759" s="16" t="s">
        <v>22</v>
      </c>
      <c r="V759" s="20" t="s">
        <v>57</v>
      </c>
      <c r="W759" s="16">
        <v>236</v>
      </c>
      <c r="X759" s="16" t="s">
        <v>51</v>
      </c>
      <c r="Y759" s="16">
        <v>35</v>
      </c>
      <c r="Z759" s="16">
        <v>40</v>
      </c>
      <c r="AA759" s="16">
        <v>25</v>
      </c>
      <c r="AB759" s="16">
        <v>0</v>
      </c>
      <c r="AC759" s="16"/>
      <c r="AD759" s="68"/>
      <c r="AE759" s="23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</row>
    <row r="760" spans="1:84" s="2" customFormat="1" x14ac:dyDescent="0.2">
      <c r="A760" s="17" t="s">
        <v>3921</v>
      </c>
      <c r="B760" s="17" t="s">
        <v>45</v>
      </c>
      <c r="C760" s="17">
        <v>2025</v>
      </c>
      <c r="D760" s="17" t="str">
        <f t="array" ref="D760">_xlfn.SWITCH(E760,"Jatikalen","35.18.20","Kertosono", "35.18.08","Lengkong","35.18.19","Loceret","35.18.04","Tanjunganom","35.18.11","Wilangan","35.18.15")</f>
        <v>35.18.08</v>
      </c>
      <c r="E760" s="16" t="s">
        <v>128</v>
      </c>
      <c r="F760" s="33" t="s">
        <v>1988</v>
      </c>
      <c r="G760" s="33" t="s">
        <v>796</v>
      </c>
      <c r="H760" s="16" t="s">
        <v>31</v>
      </c>
      <c r="I760" s="16">
        <v>1</v>
      </c>
      <c r="J760" s="16">
        <v>1</v>
      </c>
      <c r="K760" s="16">
        <f t="shared" si="13"/>
        <v>2</v>
      </c>
      <c r="L760" s="38">
        <v>250000</v>
      </c>
      <c r="M760" s="17" t="s">
        <v>1120</v>
      </c>
      <c r="N760" s="67">
        <v>45</v>
      </c>
      <c r="O760" s="16" t="s">
        <v>422</v>
      </c>
      <c r="P760" s="30">
        <v>450000</v>
      </c>
      <c r="Q760" s="33" t="s">
        <v>1642</v>
      </c>
      <c r="R760" s="38">
        <v>45</v>
      </c>
      <c r="S760" s="16" t="s">
        <v>422</v>
      </c>
      <c r="T760" s="30">
        <v>261000</v>
      </c>
      <c r="U760" s="16" t="s">
        <v>22</v>
      </c>
      <c r="V760" s="20" t="s">
        <v>57</v>
      </c>
      <c r="W760" s="16">
        <v>20</v>
      </c>
      <c r="X760" s="16" t="s">
        <v>51</v>
      </c>
      <c r="Y760" s="16">
        <v>75</v>
      </c>
      <c r="Z760" s="16">
        <v>25</v>
      </c>
      <c r="AA760" s="16">
        <v>0</v>
      </c>
      <c r="AB760" s="16">
        <v>0</v>
      </c>
      <c r="AC760" s="16"/>
      <c r="AD760" s="68"/>
      <c r="AE760" s="23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</row>
    <row r="761" spans="1:84" s="2" customFormat="1" x14ac:dyDescent="0.2">
      <c r="A761" s="17" t="s">
        <v>3921</v>
      </c>
      <c r="B761" s="17" t="s">
        <v>45</v>
      </c>
      <c r="C761" s="17">
        <v>2025</v>
      </c>
      <c r="D761" s="17" t="str">
        <f t="array" ref="D761">_xlfn.SWITCH(E761,"Jatikalen","35.18.20","Kertosono", "35.18.08","Lengkong","35.18.19","Loceret","35.18.04","Tanjunganom","35.18.11","Wilangan","35.18.15")</f>
        <v>35.18.08</v>
      </c>
      <c r="E761" s="16" t="s">
        <v>128</v>
      </c>
      <c r="F761" s="33" t="s">
        <v>1988</v>
      </c>
      <c r="G761" s="33" t="s">
        <v>1998</v>
      </c>
      <c r="H761" s="16" t="s">
        <v>31</v>
      </c>
      <c r="I761" s="16">
        <v>1</v>
      </c>
      <c r="J761" s="16">
        <v>1</v>
      </c>
      <c r="K761" s="16">
        <f t="shared" si="13"/>
        <v>2</v>
      </c>
      <c r="L761" s="38">
        <v>330000</v>
      </c>
      <c r="M761" s="17" t="s">
        <v>1120</v>
      </c>
      <c r="N761" s="67">
        <v>50</v>
      </c>
      <c r="O761" s="16" t="s">
        <v>422</v>
      </c>
      <c r="P761" s="30">
        <v>500000</v>
      </c>
      <c r="Q761" s="33" t="s">
        <v>1642</v>
      </c>
      <c r="R761" s="38">
        <v>50</v>
      </c>
      <c r="S761" s="16" t="s">
        <v>422</v>
      </c>
      <c r="T761" s="30">
        <v>150000</v>
      </c>
      <c r="U761" s="16" t="s">
        <v>22</v>
      </c>
      <c r="V761" s="20" t="s">
        <v>57</v>
      </c>
      <c r="W761" s="16">
        <v>31</v>
      </c>
      <c r="X761" s="16" t="s">
        <v>51</v>
      </c>
      <c r="Y761" s="16">
        <v>70</v>
      </c>
      <c r="Z761" s="16">
        <v>30</v>
      </c>
      <c r="AA761" s="16">
        <v>0</v>
      </c>
      <c r="AB761" s="16">
        <v>0</v>
      </c>
      <c r="AC761" s="16"/>
      <c r="AD761" s="68"/>
      <c r="AE761" s="23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</row>
    <row r="762" spans="1:84" s="2" customFormat="1" x14ac:dyDescent="0.2">
      <c r="A762" s="17" t="s">
        <v>3921</v>
      </c>
      <c r="B762" s="17" t="s">
        <v>45</v>
      </c>
      <c r="C762" s="17">
        <v>2025</v>
      </c>
      <c r="D762" s="17" t="str">
        <f t="array" ref="D762">_xlfn.SWITCH(E762,"Bagor","35.18.14","Sukomoro",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2" s="16" t="s">
        <v>103</v>
      </c>
      <c r="F762" s="33" t="s">
        <v>1999</v>
      </c>
      <c r="G762" s="33" t="s">
        <v>2000</v>
      </c>
      <c r="H762" s="16" t="s">
        <v>31</v>
      </c>
      <c r="I762" s="16">
        <v>1</v>
      </c>
      <c r="J762" s="16">
        <v>2</v>
      </c>
      <c r="K762" s="16">
        <f t="shared" si="13"/>
        <v>3</v>
      </c>
      <c r="L762" s="38">
        <v>6000000</v>
      </c>
      <c r="M762" s="17" t="s">
        <v>172</v>
      </c>
      <c r="N762" s="67">
        <f>200*12*26</f>
        <v>62400</v>
      </c>
      <c r="O762" s="16" t="s">
        <v>1130</v>
      </c>
      <c r="P762" s="30">
        <v>12480000</v>
      </c>
      <c r="Q762" s="33" t="s">
        <v>1642</v>
      </c>
      <c r="R762" s="38">
        <f>40*12*26</f>
        <v>12480</v>
      </c>
      <c r="S762" s="16" t="s">
        <v>422</v>
      </c>
      <c r="T762" s="30">
        <v>7488000</v>
      </c>
      <c r="U762" s="16" t="s">
        <v>22</v>
      </c>
      <c r="V762" s="20" t="s">
        <v>998</v>
      </c>
      <c r="W762" s="16">
        <v>6500</v>
      </c>
      <c r="X762" s="16" t="s">
        <v>53</v>
      </c>
      <c r="Y762" s="16">
        <v>80</v>
      </c>
      <c r="Z762" s="16">
        <v>20</v>
      </c>
      <c r="AA762" s="16">
        <v>0</v>
      </c>
      <c r="AB762" s="16">
        <v>0</v>
      </c>
      <c r="AC762" s="16"/>
      <c r="AD762" s="68"/>
      <c r="AE762" s="23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</row>
    <row r="763" spans="1:84" s="2" customFormat="1" x14ac:dyDescent="0.2">
      <c r="A763" s="17" t="s">
        <v>3921</v>
      </c>
      <c r="B763" s="17" t="s">
        <v>45</v>
      </c>
      <c r="C763" s="17">
        <v>2025</v>
      </c>
      <c r="D763" s="17" t="str">
        <f t="array" ref="D763">_xlfn.SWITCH(E763,"Bagor","35.18.14","Sukomoro",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3" s="16" t="s">
        <v>103</v>
      </c>
      <c r="F763" s="33" t="s">
        <v>1999</v>
      </c>
      <c r="G763" s="33" t="s">
        <v>2001</v>
      </c>
      <c r="H763" s="16" t="s">
        <v>31</v>
      </c>
      <c r="I763" s="16">
        <v>1</v>
      </c>
      <c r="J763" s="16">
        <v>2</v>
      </c>
      <c r="K763" s="16">
        <f t="shared" si="13"/>
        <v>3</v>
      </c>
      <c r="L763" s="38">
        <v>4000000</v>
      </c>
      <c r="M763" s="17" t="s">
        <v>172</v>
      </c>
      <c r="N763" s="67">
        <f>200*12*26</f>
        <v>62400</v>
      </c>
      <c r="O763" s="16" t="s">
        <v>1130</v>
      </c>
      <c r="P763" s="30">
        <v>12480000</v>
      </c>
      <c r="Q763" s="33" t="s">
        <v>1642</v>
      </c>
      <c r="R763" s="38">
        <f>40*12*26</f>
        <v>12480</v>
      </c>
      <c r="S763" s="16" t="s">
        <v>422</v>
      </c>
      <c r="T763" s="30">
        <v>6864000</v>
      </c>
      <c r="U763" s="16" t="s">
        <v>22</v>
      </c>
      <c r="V763" s="20" t="s">
        <v>998</v>
      </c>
      <c r="W763" s="16">
        <v>6900</v>
      </c>
      <c r="X763" s="16" t="s">
        <v>53</v>
      </c>
      <c r="Y763" s="16">
        <v>100</v>
      </c>
      <c r="Z763" s="16">
        <v>0</v>
      </c>
      <c r="AA763" s="16">
        <v>0</v>
      </c>
      <c r="AB763" s="16">
        <v>0</v>
      </c>
      <c r="AC763" s="16"/>
      <c r="AD763" s="68"/>
      <c r="AE763" s="23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</row>
    <row r="764" spans="1:84" s="2" customFormat="1" x14ac:dyDescent="0.2">
      <c r="A764" s="17" t="s">
        <v>3921</v>
      </c>
      <c r="B764" s="17" t="s">
        <v>45</v>
      </c>
      <c r="C764" s="17">
        <v>2025</v>
      </c>
      <c r="D764" s="17" t="str">
        <f t="array" ref="D764">_xlfn.SWITCH(E764,"Bagor","35.18.14","Sukomoro",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4" s="16" t="s">
        <v>103</v>
      </c>
      <c r="F764" s="33" t="s">
        <v>1999</v>
      </c>
      <c r="G764" s="33" t="s">
        <v>2002</v>
      </c>
      <c r="H764" s="16" t="s">
        <v>31</v>
      </c>
      <c r="I764" s="16">
        <v>1</v>
      </c>
      <c r="J764" s="16">
        <v>1</v>
      </c>
      <c r="K764" s="16">
        <f t="shared" si="13"/>
        <v>2</v>
      </c>
      <c r="L764" s="38">
        <f>2900000+100000+200000+140000+100000</f>
        <v>3440000</v>
      </c>
      <c r="M764" s="17" t="s">
        <v>172</v>
      </c>
      <c r="N764" s="67">
        <f>190*12*26</f>
        <v>59280</v>
      </c>
      <c r="O764" s="16" t="s">
        <v>1130</v>
      </c>
      <c r="P764" s="30">
        <v>23712000</v>
      </c>
      <c r="Q764" s="33" t="s">
        <v>1642</v>
      </c>
      <c r="R764" s="38">
        <f>30*12*26</f>
        <v>9360</v>
      </c>
      <c r="S764" s="16" t="s">
        <v>422</v>
      </c>
      <c r="T764" s="30">
        <v>4680000</v>
      </c>
      <c r="U764" s="16" t="s">
        <v>22</v>
      </c>
      <c r="V764" s="20" t="s">
        <v>998</v>
      </c>
      <c r="W764" s="16">
        <v>4720</v>
      </c>
      <c r="X764" s="16" t="s">
        <v>53</v>
      </c>
      <c r="Y764" s="16">
        <v>100</v>
      </c>
      <c r="Z764" s="16">
        <v>0</v>
      </c>
      <c r="AA764" s="16">
        <v>0</v>
      </c>
      <c r="AB764" s="16">
        <v>0</v>
      </c>
      <c r="AC764" s="16"/>
      <c r="AD764" s="68"/>
      <c r="AE764" s="23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</row>
    <row r="765" spans="1:84" s="2" customFormat="1" x14ac:dyDescent="0.2">
      <c r="A765" s="17" t="s">
        <v>3921</v>
      </c>
      <c r="B765" s="17" t="s">
        <v>45</v>
      </c>
      <c r="C765" s="17">
        <v>2025</v>
      </c>
      <c r="D765" s="17" t="str">
        <f t="array" ref="D765">_xlfn.SWITCH(E765,"Bagor","35.18.14","Sukomoro",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5" s="16" t="s">
        <v>103</v>
      </c>
      <c r="F765" s="33" t="s">
        <v>1999</v>
      </c>
      <c r="G765" s="33" t="s">
        <v>2003</v>
      </c>
      <c r="H765" s="16" t="s">
        <v>31</v>
      </c>
      <c r="I765" s="16">
        <v>1</v>
      </c>
      <c r="J765" s="16">
        <v>1</v>
      </c>
      <c r="K765" s="16">
        <f t="shared" si="13"/>
        <v>2</v>
      </c>
      <c r="L765" s="38">
        <f>3300000+500000+450000+200000</f>
        <v>4450000</v>
      </c>
      <c r="M765" s="17" t="s">
        <v>172</v>
      </c>
      <c r="N765" s="67">
        <f>400*12*26</f>
        <v>124800</v>
      </c>
      <c r="O765" s="16" t="s">
        <v>1130</v>
      </c>
      <c r="P765" s="30">
        <v>49920000</v>
      </c>
      <c r="Q765" s="33" t="s">
        <v>1642</v>
      </c>
      <c r="R765" s="38">
        <f>21*12*26</f>
        <v>6552</v>
      </c>
      <c r="S765" s="16" t="s">
        <v>422</v>
      </c>
      <c r="T765" s="30">
        <v>3472560</v>
      </c>
      <c r="U765" s="16" t="s">
        <v>22</v>
      </c>
      <c r="V765" s="20" t="s">
        <v>998</v>
      </c>
      <c r="W765" s="16">
        <v>3960</v>
      </c>
      <c r="X765" s="16" t="s">
        <v>53</v>
      </c>
      <c r="Y765" s="16">
        <v>70</v>
      </c>
      <c r="Z765" s="16">
        <v>30</v>
      </c>
      <c r="AA765" s="16">
        <v>0</v>
      </c>
      <c r="AB765" s="16">
        <v>0</v>
      </c>
      <c r="AC765" s="16"/>
      <c r="AD765" s="68"/>
      <c r="AE765" s="23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</row>
    <row r="766" spans="1:84" s="2" customFormat="1" x14ac:dyDescent="0.2">
      <c r="A766" s="17" t="s">
        <v>3921</v>
      </c>
      <c r="B766" s="17" t="s">
        <v>45</v>
      </c>
      <c r="C766" s="17">
        <v>2025</v>
      </c>
      <c r="D766" s="17" t="str">
        <f t="array" ref="D766">_xlfn.SWITCH(E766,"Bagor","35.18.14","Sukomoro",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6" s="16" t="s">
        <v>103</v>
      </c>
      <c r="F766" s="33" t="s">
        <v>1999</v>
      </c>
      <c r="G766" s="33" t="s">
        <v>2004</v>
      </c>
      <c r="H766" s="16" t="s">
        <v>31</v>
      </c>
      <c r="I766" s="16">
        <v>1</v>
      </c>
      <c r="J766" s="16">
        <v>3</v>
      </c>
      <c r="K766" s="16">
        <f t="shared" si="13"/>
        <v>4</v>
      </c>
      <c r="L766" s="38">
        <f>500000+140000+300000</f>
        <v>940000</v>
      </c>
      <c r="M766" s="17" t="s">
        <v>172</v>
      </c>
      <c r="N766" s="67">
        <f>350*12*26</f>
        <v>109200</v>
      </c>
      <c r="O766" s="16" t="s">
        <v>1130</v>
      </c>
      <c r="P766" s="30">
        <v>43680000</v>
      </c>
      <c r="Q766" s="33" t="s">
        <v>1642</v>
      </c>
      <c r="R766" s="38">
        <f>35*12*26</f>
        <v>10920</v>
      </c>
      <c r="S766" s="16" t="s">
        <v>422</v>
      </c>
      <c r="T766" s="30">
        <v>5460000</v>
      </c>
      <c r="U766" s="16" t="s">
        <v>22</v>
      </c>
      <c r="V766" s="20" t="s">
        <v>2005</v>
      </c>
      <c r="W766" s="16"/>
      <c r="X766" s="16"/>
      <c r="Y766" s="16">
        <v>60</v>
      </c>
      <c r="Z766" s="16">
        <v>40</v>
      </c>
      <c r="AA766" s="16">
        <v>0</v>
      </c>
      <c r="AB766" s="16">
        <v>0</v>
      </c>
      <c r="AC766" s="16"/>
      <c r="AD766" s="68"/>
      <c r="AE766" s="23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</row>
    <row r="767" spans="1:84" s="2" customFormat="1" x14ac:dyDescent="0.2">
      <c r="A767" s="17" t="s">
        <v>3921</v>
      </c>
      <c r="B767" s="17" t="s">
        <v>45</v>
      </c>
      <c r="C767" s="17">
        <v>2025</v>
      </c>
      <c r="D767" s="17" t="str">
        <f t="array" ref="D767">_xlfn.SWITCH(E767,"Bagor","35.18.14","Sukomoro",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7" s="16" t="s">
        <v>103</v>
      </c>
      <c r="F767" s="33" t="s">
        <v>1999</v>
      </c>
      <c r="G767" s="33" t="s">
        <v>2006</v>
      </c>
      <c r="H767" s="16" t="s">
        <v>31</v>
      </c>
      <c r="I767" s="16">
        <v>1</v>
      </c>
      <c r="J767" s="16">
        <v>1</v>
      </c>
      <c r="K767" s="16">
        <f t="shared" si="13"/>
        <v>2</v>
      </c>
      <c r="L767" s="38">
        <f>3500000+500000+200000+200000</f>
        <v>4400000</v>
      </c>
      <c r="M767" s="17" t="s">
        <v>172</v>
      </c>
      <c r="N767" s="67">
        <f>900*12*26</f>
        <v>280800</v>
      </c>
      <c r="O767" s="16" t="s">
        <v>1130</v>
      </c>
      <c r="P767" s="30">
        <v>56160000</v>
      </c>
      <c r="Q767" s="33" t="s">
        <v>1642</v>
      </c>
      <c r="R767" s="38">
        <f>15*12*26</f>
        <v>4680</v>
      </c>
      <c r="S767" s="16" t="s">
        <v>422</v>
      </c>
      <c r="T767" s="30">
        <v>2574000</v>
      </c>
      <c r="U767" s="16" t="s">
        <v>22</v>
      </c>
      <c r="V767" s="20" t="s">
        <v>998</v>
      </c>
      <c r="W767" s="16">
        <v>2000</v>
      </c>
      <c r="X767" s="16" t="s">
        <v>53</v>
      </c>
      <c r="Y767" s="16">
        <v>70</v>
      </c>
      <c r="Z767" s="16">
        <v>30</v>
      </c>
      <c r="AA767" s="16">
        <v>0</v>
      </c>
      <c r="AB767" s="16">
        <v>0</v>
      </c>
      <c r="AC767" s="16"/>
      <c r="AD767" s="68"/>
      <c r="AE767" s="23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</row>
    <row r="768" spans="1:84" s="2" customFormat="1" x14ac:dyDescent="0.2">
      <c r="A768" s="17" t="s">
        <v>3921</v>
      </c>
      <c r="B768" s="17" t="s">
        <v>45</v>
      </c>
      <c r="C768" s="17">
        <v>2025</v>
      </c>
      <c r="D768" s="17" t="str">
        <f t="array" ref="D768">_xlfn.SWITCH(E768,"Bagor","35.18.14","Sukomoro",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8" s="16" t="s">
        <v>103</v>
      </c>
      <c r="F768" s="33" t="s">
        <v>1999</v>
      </c>
      <c r="G768" s="33" t="s">
        <v>2007</v>
      </c>
      <c r="H768" s="16" t="s">
        <v>31</v>
      </c>
      <c r="I768" s="16">
        <v>1</v>
      </c>
      <c r="J768" s="16">
        <v>1</v>
      </c>
      <c r="K768" s="16">
        <f t="shared" si="13"/>
        <v>2</v>
      </c>
      <c r="L768" s="38">
        <f>3500000+1000000+800000+500000+2000000+30*25000</f>
        <v>8550000</v>
      </c>
      <c r="M768" s="17" t="s">
        <v>172</v>
      </c>
      <c r="N768" s="67">
        <f>400*12*26</f>
        <v>124800</v>
      </c>
      <c r="O768" s="16" t="s">
        <v>1130</v>
      </c>
      <c r="P768" s="30">
        <v>49920000</v>
      </c>
      <c r="Q768" s="33" t="s">
        <v>1642</v>
      </c>
      <c r="R768" s="38">
        <v>46800</v>
      </c>
      <c r="S768" s="16" t="s">
        <v>422</v>
      </c>
      <c r="T768" s="30">
        <v>2340000</v>
      </c>
      <c r="U768" s="16" t="s">
        <v>22</v>
      </c>
      <c r="V768" s="20" t="s">
        <v>57</v>
      </c>
      <c r="W768" s="16">
        <v>210</v>
      </c>
      <c r="X768" s="16" t="s">
        <v>51</v>
      </c>
      <c r="Y768" s="16">
        <v>60</v>
      </c>
      <c r="Z768" s="16">
        <v>40</v>
      </c>
      <c r="AA768" s="16">
        <v>0</v>
      </c>
      <c r="AB768" s="16">
        <v>0</v>
      </c>
      <c r="AC768" s="16"/>
      <c r="AD768" s="68"/>
      <c r="AE768" s="23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</row>
    <row r="769" spans="1:84" s="2" customFormat="1" x14ac:dyDescent="0.2">
      <c r="A769" s="17" t="s">
        <v>3921</v>
      </c>
      <c r="B769" s="17" t="s">
        <v>45</v>
      </c>
      <c r="C769" s="17">
        <v>2025</v>
      </c>
      <c r="D769" s="17" t="str">
        <f t="array" ref="D769">_xlfn.SWITCH(E769,"Bagor","35.18.14","Sukomoro",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69" s="16" t="s">
        <v>92</v>
      </c>
      <c r="F769" s="33" t="s">
        <v>1188</v>
      </c>
      <c r="G769" s="33" t="s">
        <v>2008</v>
      </c>
      <c r="H769" s="16" t="s">
        <v>31</v>
      </c>
      <c r="I769" s="16">
        <v>0</v>
      </c>
      <c r="J769" s="16">
        <v>6</v>
      </c>
      <c r="K769" s="16">
        <f t="shared" si="13"/>
        <v>6</v>
      </c>
      <c r="L769" s="38">
        <v>56500000</v>
      </c>
      <c r="M769" s="17" t="s">
        <v>258</v>
      </c>
      <c r="N769" s="67">
        <f>800*12</f>
        <v>9600</v>
      </c>
      <c r="O769" s="16" t="s">
        <v>835</v>
      </c>
      <c r="P769" s="30">
        <v>288000000</v>
      </c>
      <c r="Q769" s="33" t="s">
        <v>1958</v>
      </c>
      <c r="R769" s="38">
        <v>240</v>
      </c>
      <c r="S769" s="16" t="s">
        <v>422</v>
      </c>
      <c r="T769" s="30">
        <v>144000000</v>
      </c>
      <c r="U769" s="16" t="s">
        <v>22</v>
      </c>
      <c r="V769" s="20">
        <v>0</v>
      </c>
      <c r="W769" s="16">
        <v>0</v>
      </c>
      <c r="X769" s="16">
        <v>0</v>
      </c>
      <c r="Y769" s="16">
        <v>100</v>
      </c>
      <c r="Z769" s="16">
        <v>0</v>
      </c>
      <c r="AA769" s="16">
        <v>0</v>
      </c>
      <c r="AB769" s="16">
        <v>0</v>
      </c>
      <c r="AC769" s="16"/>
      <c r="AD769" s="68"/>
      <c r="AE769" s="23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</row>
    <row r="770" spans="1:84" s="2" customFormat="1" x14ac:dyDescent="0.2">
      <c r="A770" s="17" t="s">
        <v>3921</v>
      </c>
      <c r="B770" s="17" t="s">
        <v>45</v>
      </c>
      <c r="C770" s="17">
        <v>2025</v>
      </c>
      <c r="D770" s="17" t="str">
        <f t="array" ref="D770">_xlfn.SWITCH(E770,"Bagor","35.18.14","Sukomoro",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70" s="16" t="s">
        <v>103</v>
      </c>
      <c r="F770" s="33" t="s">
        <v>2009</v>
      </c>
      <c r="G770" s="33" t="s">
        <v>2010</v>
      </c>
      <c r="H770" s="16" t="s">
        <v>31</v>
      </c>
      <c r="I770" s="16">
        <v>1</v>
      </c>
      <c r="J770" s="16">
        <v>1</v>
      </c>
      <c r="K770" s="16">
        <f t="shared" ref="K770:K833" si="14">I770+J770</f>
        <v>2</v>
      </c>
      <c r="L770" s="38">
        <v>500000</v>
      </c>
      <c r="M770" s="17" t="s">
        <v>2011</v>
      </c>
      <c r="N770" s="67">
        <v>12000</v>
      </c>
      <c r="O770" s="16" t="s">
        <v>1130</v>
      </c>
      <c r="P770" s="30">
        <v>1200000</v>
      </c>
      <c r="Q770" s="33" t="s">
        <v>286</v>
      </c>
      <c r="R770" s="38">
        <v>3</v>
      </c>
      <c r="S770" s="16" t="s">
        <v>2012</v>
      </c>
      <c r="T770" s="30">
        <v>990000</v>
      </c>
      <c r="U770" s="16" t="s">
        <v>22</v>
      </c>
      <c r="V770" s="20">
        <v>0</v>
      </c>
      <c r="W770" s="16">
        <v>0</v>
      </c>
      <c r="X770" s="16">
        <v>0</v>
      </c>
      <c r="Y770" s="16">
        <v>55</v>
      </c>
      <c r="Z770" s="16">
        <v>45</v>
      </c>
      <c r="AA770" s="16">
        <v>0</v>
      </c>
      <c r="AB770" s="16">
        <v>0</v>
      </c>
      <c r="AC770" s="16"/>
      <c r="AD770" s="68"/>
      <c r="AE770" s="23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</row>
    <row r="771" spans="1:84" s="2" customFormat="1" x14ac:dyDescent="0.2">
      <c r="A771" s="17" t="s">
        <v>3921</v>
      </c>
      <c r="B771" s="17" t="s">
        <v>45</v>
      </c>
      <c r="C771" s="17">
        <v>2025</v>
      </c>
      <c r="D771" s="17" t="str">
        <f t="array" ref="D771">_xlfn.SWITCH(E771,"Bagor","35.18.14","Sukomoro",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71" s="16" t="s">
        <v>103</v>
      </c>
      <c r="F771" s="33" t="s">
        <v>2009</v>
      </c>
      <c r="G771" s="33" t="s">
        <v>2013</v>
      </c>
      <c r="H771" s="16" t="s">
        <v>31</v>
      </c>
      <c r="I771" s="16">
        <v>1</v>
      </c>
      <c r="J771" s="16">
        <v>1</v>
      </c>
      <c r="K771" s="16">
        <f t="shared" si="14"/>
        <v>2</v>
      </c>
      <c r="L771" s="38">
        <v>750000</v>
      </c>
      <c r="M771" s="17" t="s">
        <v>2011</v>
      </c>
      <c r="N771" s="67">
        <v>2000</v>
      </c>
      <c r="O771" s="16" t="s">
        <v>1130</v>
      </c>
      <c r="P771" s="30">
        <v>2400000</v>
      </c>
      <c r="Q771" s="33" t="s">
        <v>286</v>
      </c>
      <c r="R771" s="38">
        <v>5</v>
      </c>
      <c r="S771" s="16" t="s">
        <v>2012</v>
      </c>
      <c r="T771" s="30">
        <v>1650000</v>
      </c>
      <c r="U771" s="16" t="s">
        <v>22</v>
      </c>
      <c r="V771" s="20">
        <v>0</v>
      </c>
      <c r="W771" s="16">
        <v>0</v>
      </c>
      <c r="X771" s="16">
        <v>0</v>
      </c>
      <c r="Y771" s="16">
        <v>65</v>
      </c>
      <c r="Z771" s="16">
        <v>35</v>
      </c>
      <c r="AA771" s="16">
        <v>0</v>
      </c>
      <c r="AB771" s="16">
        <v>0</v>
      </c>
      <c r="AC771" s="16"/>
      <c r="AD771" s="68"/>
      <c r="AE771" s="23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</row>
    <row r="772" spans="1:84" s="2" customFormat="1" x14ac:dyDescent="0.2">
      <c r="A772" s="17" t="s">
        <v>3921</v>
      </c>
      <c r="B772" s="17" t="s">
        <v>45</v>
      </c>
      <c r="C772" s="17">
        <v>2025</v>
      </c>
      <c r="D772" s="17" t="str">
        <f t="array" ref="D772">_xlfn.SWITCH(E772,"Jatikalen","35.18.20","Kertosono", "35.18.08","Lengkong","35.18.19","Loceret","35.18.04","Tanjunganom","35.18.11","Wilangan","35.18.15")</f>
        <v>35.18.08</v>
      </c>
      <c r="E772" s="16" t="s">
        <v>128</v>
      </c>
      <c r="F772" s="33" t="s">
        <v>1988</v>
      </c>
      <c r="G772" s="33" t="s">
        <v>2014</v>
      </c>
      <c r="H772" s="16" t="s">
        <v>31</v>
      </c>
      <c r="I772" s="16">
        <v>1</v>
      </c>
      <c r="J772" s="16">
        <v>1</v>
      </c>
      <c r="K772" s="16">
        <f t="shared" si="14"/>
        <v>2</v>
      </c>
      <c r="L772" s="38">
        <f>6100*70</f>
        <v>427000</v>
      </c>
      <c r="M772" s="17" t="s">
        <v>1120</v>
      </c>
      <c r="N772" s="67">
        <v>70</v>
      </c>
      <c r="O772" s="16" t="s">
        <v>422</v>
      </c>
      <c r="P772" s="30">
        <v>700000</v>
      </c>
      <c r="Q772" s="33" t="s">
        <v>1642</v>
      </c>
      <c r="R772" s="38">
        <v>70</v>
      </c>
      <c r="S772" s="16" t="s">
        <v>422</v>
      </c>
      <c r="T772" s="30">
        <v>427000</v>
      </c>
      <c r="U772" s="16" t="s">
        <v>22</v>
      </c>
      <c r="V772" s="20">
        <v>0</v>
      </c>
      <c r="W772" s="16">
        <v>0</v>
      </c>
      <c r="X772" s="16">
        <v>0</v>
      </c>
      <c r="Y772" s="16">
        <v>80</v>
      </c>
      <c r="Z772" s="16">
        <v>20</v>
      </c>
      <c r="AA772" s="16">
        <v>0</v>
      </c>
      <c r="AB772" s="16">
        <v>0</v>
      </c>
      <c r="AC772" s="16"/>
      <c r="AD772" s="68"/>
      <c r="AE772" s="23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</row>
    <row r="773" spans="1:84" s="2" customFormat="1" x14ac:dyDescent="0.2">
      <c r="A773" s="17" t="s">
        <v>3921</v>
      </c>
      <c r="B773" s="17" t="s">
        <v>45</v>
      </c>
      <c r="C773" s="17">
        <v>2025</v>
      </c>
      <c r="D773" s="17" t="str">
        <f t="array" ref="D773">_xlfn.SWITCH(E773,"Bagor","35.18.14","Sukomoro",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773" s="16" t="s">
        <v>140</v>
      </c>
      <c r="F773" s="33" t="s">
        <v>2015</v>
      </c>
      <c r="G773" s="33" t="s">
        <v>2016</v>
      </c>
      <c r="H773" s="16" t="s">
        <v>81</v>
      </c>
      <c r="I773" s="16">
        <v>19</v>
      </c>
      <c r="J773" s="16">
        <v>5</v>
      </c>
      <c r="K773" s="16">
        <f t="shared" si="14"/>
        <v>24</v>
      </c>
      <c r="L773" s="38">
        <v>150000000</v>
      </c>
      <c r="M773" s="17" t="s">
        <v>1147</v>
      </c>
      <c r="N773" s="67">
        <f>10*12*26</f>
        <v>3120</v>
      </c>
      <c r="O773" s="16" t="s">
        <v>83</v>
      </c>
      <c r="P773" s="30">
        <v>249600000</v>
      </c>
      <c r="Q773" s="33" t="s">
        <v>84</v>
      </c>
      <c r="R773" s="38">
        <v>2800</v>
      </c>
      <c r="S773" s="16" t="s">
        <v>962</v>
      </c>
      <c r="T773" s="30">
        <v>126000000</v>
      </c>
      <c r="U773" s="16" t="s">
        <v>22</v>
      </c>
      <c r="V773" s="20">
        <v>0</v>
      </c>
      <c r="W773" s="16">
        <v>0</v>
      </c>
      <c r="X773" s="16">
        <v>0</v>
      </c>
      <c r="Y773" s="16">
        <v>90</v>
      </c>
      <c r="Z773" s="16">
        <v>10</v>
      </c>
      <c r="AA773" s="16">
        <v>0</v>
      </c>
      <c r="AB773" s="16">
        <v>0</v>
      </c>
      <c r="AC773" s="16"/>
      <c r="AD773" s="68"/>
      <c r="AE773" s="23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</row>
    <row r="774" spans="1:84" s="2" customFormat="1" x14ac:dyDescent="0.2">
      <c r="A774" s="17" t="s">
        <v>3921</v>
      </c>
      <c r="B774" s="17" t="s">
        <v>45</v>
      </c>
      <c r="C774" s="17">
        <v>2025</v>
      </c>
      <c r="D774" s="17" t="str">
        <f t="array" ref="D774">_xlfn.SWITCH(E774,"Bagor","35.18.14","Sukomoro",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74" s="16" t="s">
        <v>162</v>
      </c>
      <c r="F774" s="33" t="s">
        <v>1769</v>
      </c>
      <c r="G774" s="33" t="s">
        <v>2017</v>
      </c>
      <c r="H774" s="16" t="s">
        <v>31</v>
      </c>
      <c r="I774" s="16">
        <v>4</v>
      </c>
      <c r="J774" s="16">
        <v>0</v>
      </c>
      <c r="K774" s="16">
        <f t="shared" si="14"/>
        <v>4</v>
      </c>
      <c r="L774" s="38">
        <v>3000000</v>
      </c>
      <c r="M774" s="17" t="s">
        <v>2018</v>
      </c>
      <c r="N774" s="67">
        <f>150*12*26</f>
        <v>46800</v>
      </c>
      <c r="O774" s="16" t="s">
        <v>422</v>
      </c>
      <c r="P774" s="30">
        <v>23400000</v>
      </c>
      <c r="Q774" s="33" t="s">
        <v>1787</v>
      </c>
      <c r="R774" s="38">
        <f>150*12*13</f>
        <v>23400</v>
      </c>
      <c r="S774" s="16" t="s">
        <v>422</v>
      </c>
      <c r="T774" s="30">
        <v>14040000</v>
      </c>
      <c r="U774" s="16" t="s">
        <v>22</v>
      </c>
      <c r="V774" s="20" t="s">
        <v>57</v>
      </c>
      <c r="W774" s="16">
        <v>16500</v>
      </c>
      <c r="X774" s="16" t="s">
        <v>51</v>
      </c>
      <c r="Y774" s="16">
        <v>65</v>
      </c>
      <c r="Z774" s="16">
        <v>35</v>
      </c>
      <c r="AA774" s="16">
        <v>0</v>
      </c>
      <c r="AB774" s="16">
        <v>0</v>
      </c>
      <c r="AC774" s="16"/>
      <c r="AD774" s="68"/>
      <c r="AE774" s="23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</row>
    <row r="775" spans="1:84" s="2" customFormat="1" x14ac:dyDescent="0.2">
      <c r="A775" s="17" t="s">
        <v>3921</v>
      </c>
      <c r="B775" s="17" t="s">
        <v>45</v>
      </c>
      <c r="C775" s="17">
        <v>2025</v>
      </c>
      <c r="D775" s="17" t="str">
        <f t="array" ref="D775">_xlfn.SWITCH(E775,"Jatikalen","35.18.20","Kertosono", "35.18.08","Lengkong","35.18.19","Loceret","35.18.04","Tanjunganom","35.18.11","Wilangan","35.18.15")</f>
        <v>35.18.08</v>
      </c>
      <c r="E775" s="16" t="s">
        <v>128</v>
      </c>
      <c r="F775" s="33" t="s">
        <v>1988</v>
      </c>
      <c r="G775" s="33" t="s">
        <v>2019</v>
      </c>
      <c r="H775" s="16" t="s">
        <v>31</v>
      </c>
      <c r="I775" s="16">
        <v>1</v>
      </c>
      <c r="J775" s="16">
        <v>1</v>
      </c>
      <c r="K775" s="16">
        <f t="shared" si="14"/>
        <v>2</v>
      </c>
      <c r="L775" s="38">
        <v>2000000</v>
      </c>
      <c r="M775" s="17" t="s">
        <v>1120</v>
      </c>
      <c r="N775" s="67">
        <f>20*12*26</f>
        <v>6240</v>
      </c>
      <c r="O775" s="16" t="s">
        <v>422</v>
      </c>
      <c r="P775" s="30">
        <v>62400000</v>
      </c>
      <c r="Q775" s="33" t="s">
        <v>1642</v>
      </c>
      <c r="R775" s="38">
        <f>20*12*26</f>
        <v>6240</v>
      </c>
      <c r="S775" s="16" t="s">
        <v>422</v>
      </c>
      <c r="T775" s="30">
        <v>40560000</v>
      </c>
      <c r="U775" s="16" t="s">
        <v>22</v>
      </c>
      <c r="V775" s="20" t="s">
        <v>57</v>
      </c>
      <c r="W775" s="16">
        <v>3200</v>
      </c>
      <c r="X775" s="16" t="s">
        <v>51</v>
      </c>
      <c r="Y775" s="16">
        <v>90</v>
      </c>
      <c r="Z775" s="16">
        <v>10</v>
      </c>
      <c r="AA775" s="16">
        <v>0</v>
      </c>
      <c r="AB775" s="16">
        <v>0</v>
      </c>
      <c r="AC775" s="16"/>
      <c r="AD775" s="68"/>
      <c r="AE775" s="23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</row>
    <row r="776" spans="1:84" s="2" customFormat="1" x14ac:dyDescent="0.2">
      <c r="A776" s="17" t="s">
        <v>3921</v>
      </c>
      <c r="B776" s="17" t="s">
        <v>45</v>
      </c>
      <c r="C776" s="17">
        <v>2025</v>
      </c>
      <c r="D776" s="17" t="str">
        <f t="array" ref="D776">_xlfn.SWITCH(E776,"Bagor","35.18.14","Sukomoro",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76" s="16" t="s">
        <v>162</v>
      </c>
      <c r="F776" s="33" t="s">
        <v>1769</v>
      </c>
      <c r="G776" s="33" t="s">
        <v>2020</v>
      </c>
      <c r="H776" s="16" t="s">
        <v>31</v>
      </c>
      <c r="I776" s="16">
        <v>1</v>
      </c>
      <c r="J776" s="16">
        <v>2</v>
      </c>
      <c r="K776" s="16">
        <f t="shared" si="14"/>
        <v>3</v>
      </c>
      <c r="L776" s="38">
        <v>3500000</v>
      </c>
      <c r="M776" s="17" t="s">
        <v>2018</v>
      </c>
      <c r="N776" s="67">
        <f>8*12*26</f>
        <v>2496</v>
      </c>
      <c r="O776" s="16" t="s">
        <v>1238</v>
      </c>
      <c r="P776" s="30">
        <v>24960000</v>
      </c>
      <c r="Q776" s="33" t="s">
        <v>1787</v>
      </c>
      <c r="R776" s="38">
        <f>8*12*26</f>
        <v>2496</v>
      </c>
      <c r="S776" s="16" t="s">
        <v>1238</v>
      </c>
      <c r="T776" s="30">
        <v>14976000</v>
      </c>
      <c r="U776" s="16" t="s">
        <v>22</v>
      </c>
      <c r="V776" s="20">
        <v>0</v>
      </c>
      <c r="W776" s="16">
        <v>0</v>
      </c>
      <c r="X776" s="16">
        <v>0</v>
      </c>
      <c r="Y776" s="16">
        <v>75</v>
      </c>
      <c r="Z776" s="16">
        <v>25</v>
      </c>
      <c r="AA776" s="16">
        <v>0</v>
      </c>
      <c r="AB776" s="16">
        <v>0</v>
      </c>
      <c r="AC776" s="16"/>
      <c r="AD776" s="68"/>
      <c r="AE776" s="23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</row>
    <row r="777" spans="1:84" s="2" customFormat="1" x14ac:dyDescent="0.2">
      <c r="A777" s="17" t="s">
        <v>3921</v>
      </c>
      <c r="B777" s="17" t="s">
        <v>45</v>
      </c>
      <c r="C777" s="17">
        <v>2025</v>
      </c>
      <c r="D777" s="17" t="str">
        <f t="array" ref="D777">_xlfn.SWITCH(E777,"Jatikalen","35.18.20","Kertosono", "35.18.08","Lengkong","35.18.19","Loceret","35.18.04","Tanjunganom","35.18.11","Wilangan","35.18.15")</f>
        <v>35.18.08</v>
      </c>
      <c r="E777" s="16" t="s">
        <v>128</v>
      </c>
      <c r="F777" s="33" t="s">
        <v>1988</v>
      </c>
      <c r="G777" s="33" t="s">
        <v>2021</v>
      </c>
      <c r="H777" s="16" t="s">
        <v>31</v>
      </c>
      <c r="I777" s="16">
        <v>3</v>
      </c>
      <c r="J777" s="16">
        <v>0</v>
      </c>
      <c r="K777" s="16">
        <f t="shared" si="14"/>
        <v>3</v>
      </c>
      <c r="L777" s="38">
        <v>25000000</v>
      </c>
      <c r="M777" s="17" t="s">
        <v>1120</v>
      </c>
      <c r="N777" s="67">
        <f>1*12*26</f>
        <v>312</v>
      </c>
      <c r="O777" s="16" t="s">
        <v>1238</v>
      </c>
      <c r="P777" s="30">
        <v>31200000</v>
      </c>
      <c r="Q777" s="33" t="s">
        <v>1642</v>
      </c>
      <c r="R777" s="38">
        <v>100</v>
      </c>
      <c r="S777" s="16" t="s">
        <v>1238</v>
      </c>
      <c r="T777" s="30">
        <v>6000000</v>
      </c>
      <c r="U777" s="16" t="s">
        <v>22</v>
      </c>
      <c r="V777" s="20" t="s">
        <v>57</v>
      </c>
      <c r="W777" s="16">
        <v>54</v>
      </c>
      <c r="X777" s="16" t="s">
        <v>51</v>
      </c>
      <c r="Y777" s="16">
        <v>90</v>
      </c>
      <c r="Z777" s="16">
        <v>10</v>
      </c>
      <c r="AA777" s="16">
        <v>0</v>
      </c>
      <c r="AB777" s="16">
        <v>0</v>
      </c>
      <c r="AC777" s="16"/>
      <c r="AD777" s="68"/>
      <c r="AE777" s="23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</row>
    <row r="778" spans="1:84" s="2" customFormat="1" x14ac:dyDescent="0.2">
      <c r="A778" s="17" t="s">
        <v>3921</v>
      </c>
      <c r="B778" s="17" t="s">
        <v>45</v>
      </c>
      <c r="C778" s="17">
        <v>2025</v>
      </c>
      <c r="D778" s="17" t="str">
        <f t="array" ref="D778">_xlfn.SWITCH(E778,"Jatikalen","35.18.20","Kertosono", "35.18.08","Lengkong","35.18.19","Loceret","35.18.04","Tanjunganom","35.18.11","Wilangan","35.18.15")</f>
        <v>35.18.08</v>
      </c>
      <c r="E778" s="16" t="s">
        <v>128</v>
      </c>
      <c r="F778" s="33" t="s">
        <v>1988</v>
      </c>
      <c r="G778" s="33" t="s">
        <v>2022</v>
      </c>
      <c r="H778" s="16" t="s">
        <v>31</v>
      </c>
      <c r="I778" s="16">
        <v>0</v>
      </c>
      <c r="J778" s="16">
        <v>1</v>
      </c>
      <c r="K778" s="16">
        <f t="shared" si="14"/>
        <v>1</v>
      </c>
      <c r="L778" s="38">
        <v>4500000</v>
      </c>
      <c r="M778" s="17" t="s">
        <v>1120</v>
      </c>
      <c r="N778" s="67">
        <v>35</v>
      </c>
      <c r="O778" s="16" t="s">
        <v>422</v>
      </c>
      <c r="P778" s="30">
        <v>10500000</v>
      </c>
      <c r="Q778" s="33" t="s">
        <v>1642</v>
      </c>
      <c r="R778" s="38">
        <v>35</v>
      </c>
      <c r="S778" s="16" t="s">
        <v>422</v>
      </c>
      <c r="T778" s="30">
        <v>2240000</v>
      </c>
      <c r="U778" s="16" t="s">
        <v>22</v>
      </c>
      <c r="V778" s="20">
        <v>0</v>
      </c>
      <c r="W778" s="16">
        <v>0</v>
      </c>
      <c r="X778" s="16">
        <v>0</v>
      </c>
      <c r="Y778" s="16">
        <v>80</v>
      </c>
      <c r="Z778" s="16">
        <v>20</v>
      </c>
      <c r="AA778" s="16">
        <v>0</v>
      </c>
      <c r="AB778" s="16">
        <v>0</v>
      </c>
      <c r="AC778" s="16"/>
      <c r="AD778" s="68"/>
      <c r="AE778" s="23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</row>
    <row r="779" spans="1:84" s="2" customFormat="1" x14ac:dyDescent="0.2">
      <c r="A779" s="17" t="s">
        <v>3921</v>
      </c>
      <c r="B779" s="17" t="s">
        <v>45</v>
      </c>
      <c r="C779" s="17">
        <v>2025</v>
      </c>
      <c r="D779" s="17" t="str">
        <f t="array" ref="D779">_xlfn.SWITCH(E779,"Jatikalen","35.18.20","Kertosono", "35.18.08","Lengkong","35.18.19","Loceret","35.18.04","Tanjunganom","35.18.11","Wilangan","35.18.15")</f>
        <v>35.18.04</v>
      </c>
      <c r="E779" s="16" t="s">
        <v>41</v>
      </c>
      <c r="F779" s="33" t="s">
        <v>1970</v>
      </c>
      <c r="G779" s="33" t="s">
        <v>2023</v>
      </c>
      <c r="H779" s="16" t="s">
        <v>31</v>
      </c>
      <c r="I779" s="16">
        <v>3</v>
      </c>
      <c r="J779" s="16">
        <v>0</v>
      </c>
      <c r="K779" s="16">
        <f t="shared" si="14"/>
        <v>3</v>
      </c>
      <c r="L779" s="38">
        <v>1000000</v>
      </c>
      <c r="M779" s="17" t="s">
        <v>258</v>
      </c>
      <c r="N779" s="67">
        <f>20*12</f>
        <v>240</v>
      </c>
      <c r="O779" s="16" t="s">
        <v>1803</v>
      </c>
      <c r="P779" s="30">
        <v>21600000</v>
      </c>
      <c r="Q779" s="33" t="s">
        <v>1958</v>
      </c>
      <c r="R779" s="38">
        <v>2000</v>
      </c>
      <c r="S779" s="16" t="s">
        <v>1130</v>
      </c>
      <c r="T779" s="30">
        <v>8000000</v>
      </c>
      <c r="U779" s="16" t="s">
        <v>22</v>
      </c>
      <c r="V779" s="20">
        <v>0</v>
      </c>
      <c r="W779" s="16">
        <v>0</v>
      </c>
      <c r="X779" s="16">
        <v>0</v>
      </c>
      <c r="Y779" s="16">
        <v>100</v>
      </c>
      <c r="Z779" s="16">
        <v>0</v>
      </c>
      <c r="AA779" s="16">
        <v>0</v>
      </c>
      <c r="AB779" s="16">
        <v>0</v>
      </c>
      <c r="AC779" s="16"/>
      <c r="AD779" s="68"/>
      <c r="AE779" s="23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</row>
    <row r="780" spans="1:84" s="2" customFormat="1" x14ac:dyDescent="0.2">
      <c r="A780" s="17" t="s">
        <v>3921</v>
      </c>
      <c r="B780" s="17" t="s">
        <v>45</v>
      </c>
      <c r="C780" s="17">
        <v>2025</v>
      </c>
      <c r="D780" s="17" t="str">
        <f t="array" ref="D780">_xlfn.SWITCH(E780,"Jatikalen","35.18.20","Kertosono", "35.18.08","Lengkong","35.18.19","Loceret","35.18.04","Tanjunganom","35.18.11","Wilangan","35.18.15")</f>
        <v>35.18.04</v>
      </c>
      <c r="E780" s="16" t="s">
        <v>41</v>
      </c>
      <c r="F780" s="33" t="s">
        <v>1970</v>
      </c>
      <c r="G780" s="33" t="s">
        <v>2024</v>
      </c>
      <c r="H780" s="16" t="s">
        <v>31</v>
      </c>
      <c r="I780" s="16">
        <v>4</v>
      </c>
      <c r="J780" s="16">
        <v>6</v>
      </c>
      <c r="K780" s="16">
        <f t="shared" si="14"/>
        <v>10</v>
      </c>
      <c r="L780" s="38">
        <v>2000000</v>
      </c>
      <c r="M780" s="17" t="s">
        <v>258</v>
      </c>
      <c r="N780" s="67">
        <f>150*4*12</f>
        <v>7200</v>
      </c>
      <c r="O780" s="16" t="s">
        <v>1803</v>
      </c>
      <c r="P780" s="30">
        <v>43200000</v>
      </c>
      <c r="Q780" s="33" t="s">
        <v>1958</v>
      </c>
      <c r="R780" s="38">
        <v>10000</v>
      </c>
      <c r="S780" s="16" t="s">
        <v>1130</v>
      </c>
      <c r="T780" s="30">
        <v>20000000</v>
      </c>
      <c r="U780" s="16" t="s">
        <v>22</v>
      </c>
      <c r="V780" s="20">
        <v>0</v>
      </c>
      <c r="W780" s="16">
        <v>0</v>
      </c>
      <c r="X780" s="16">
        <v>0</v>
      </c>
      <c r="Y780" s="16">
        <v>100</v>
      </c>
      <c r="Z780" s="16">
        <v>0</v>
      </c>
      <c r="AA780" s="16">
        <v>0</v>
      </c>
      <c r="AB780" s="16">
        <v>0</v>
      </c>
      <c r="AC780" s="16"/>
      <c r="AD780" s="68"/>
      <c r="AE780" s="23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</row>
    <row r="781" spans="1:84" s="2" customFormat="1" x14ac:dyDescent="0.2">
      <c r="A781" s="17" t="s">
        <v>3921</v>
      </c>
      <c r="B781" s="17" t="s">
        <v>45</v>
      </c>
      <c r="C781" s="17">
        <v>2025</v>
      </c>
      <c r="D781" s="17" t="str">
        <f t="array" ref="D781">_xlfn.SWITCH(E781,"Jatikalen","35.18.20","Kertosono", "35.18.08","Lengkong","35.18.19","Loceret","35.18.04","Tanjunganom","35.18.11","Wilangan","35.18.15")</f>
        <v>35.18.04</v>
      </c>
      <c r="E781" s="16" t="s">
        <v>41</v>
      </c>
      <c r="F781" s="33" t="s">
        <v>1970</v>
      </c>
      <c r="G781" s="33" t="s">
        <v>2025</v>
      </c>
      <c r="H781" s="16" t="s">
        <v>31</v>
      </c>
      <c r="I781" s="16">
        <v>1</v>
      </c>
      <c r="J781" s="16">
        <v>2</v>
      </c>
      <c r="K781" s="16">
        <f t="shared" si="14"/>
        <v>3</v>
      </c>
      <c r="L781" s="38">
        <v>4000000</v>
      </c>
      <c r="M781" s="17" t="s">
        <v>258</v>
      </c>
      <c r="N781" s="67">
        <f>50*4*12</f>
        <v>2400</v>
      </c>
      <c r="O781" s="16" t="s">
        <v>1803</v>
      </c>
      <c r="P781" s="30">
        <v>74400000</v>
      </c>
      <c r="Q781" s="33" t="s">
        <v>1958</v>
      </c>
      <c r="R781" s="38">
        <f>50*4*12</f>
        <v>2400</v>
      </c>
      <c r="S781" s="16" t="s">
        <v>1130</v>
      </c>
      <c r="T781" s="30">
        <v>36000000</v>
      </c>
      <c r="U781" s="16" t="s">
        <v>22</v>
      </c>
      <c r="V781" s="20">
        <v>0</v>
      </c>
      <c r="W781" s="16">
        <v>0</v>
      </c>
      <c r="X781" s="16">
        <v>0</v>
      </c>
      <c r="Y781" s="16">
        <v>70</v>
      </c>
      <c r="Z781" s="16">
        <v>30</v>
      </c>
      <c r="AA781" s="16">
        <v>0</v>
      </c>
      <c r="AB781" s="16">
        <v>0</v>
      </c>
      <c r="AC781" s="16"/>
      <c r="AD781" s="68"/>
      <c r="AE781" s="23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</row>
    <row r="782" spans="1:84" s="2" customFormat="1" x14ac:dyDescent="0.2">
      <c r="A782" s="17" t="s">
        <v>3921</v>
      </c>
      <c r="B782" s="17" t="s">
        <v>45</v>
      </c>
      <c r="C782" s="17">
        <v>2025</v>
      </c>
      <c r="D782" s="17" t="str">
        <f t="array" ref="D782">_xlfn.SWITCH(E782,"Bagor","35.18.14","Sukomoro",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82" s="16" t="s">
        <v>162</v>
      </c>
      <c r="F782" s="33" t="s">
        <v>1769</v>
      </c>
      <c r="G782" s="33" t="s">
        <v>2026</v>
      </c>
      <c r="H782" s="16" t="s">
        <v>31</v>
      </c>
      <c r="I782" s="16">
        <v>1</v>
      </c>
      <c r="J782" s="16">
        <v>2</v>
      </c>
      <c r="K782" s="16">
        <f t="shared" si="14"/>
        <v>3</v>
      </c>
      <c r="L782" s="38">
        <v>5000000</v>
      </c>
      <c r="M782" s="17" t="s">
        <v>2018</v>
      </c>
      <c r="N782" s="67">
        <f>75*12*26</f>
        <v>23400</v>
      </c>
      <c r="O782" s="16" t="s">
        <v>422</v>
      </c>
      <c r="P782" s="30">
        <v>11700000</v>
      </c>
      <c r="Q782" s="33" t="s">
        <v>1787</v>
      </c>
      <c r="R782" s="38">
        <f>75*12*13</f>
        <v>11700</v>
      </c>
      <c r="S782" s="16" t="s">
        <v>422</v>
      </c>
      <c r="T782" s="30">
        <v>7020000</v>
      </c>
      <c r="U782" s="16" t="s">
        <v>22</v>
      </c>
      <c r="V782" s="20" t="s">
        <v>57</v>
      </c>
      <c r="W782" s="16">
        <v>8640</v>
      </c>
      <c r="X782" s="16" t="s">
        <v>51</v>
      </c>
      <c r="Y782" s="16">
        <v>60</v>
      </c>
      <c r="Z782" s="16">
        <v>40</v>
      </c>
      <c r="AA782" s="16">
        <v>0</v>
      </c>
      <c r="AB782" s="16">
        <v>0</v>
      </c>
      <c r="AC782" s="16"/>
      <c r="AD782" s="68"/>
      <c r="AE782" s="23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</row>
    <row r="783" spans="1:84" s="2" customFormat="1" x14ac:dyDescent="0.2">
      <c r="A783" s="17" t="s">
        <v>3921</v>
      </c>
      <c r="B783" s="17" t="s">
        <v>45</v>
      </c>
      <c r="C783" s="17">
        <v>2025</v>
      </c>
      <c r="D783" s="17" t="str">
        <f t="array" ref="D783">_xlfn.SWITCH(E783,"Jatikalen","35.18.20","Kertosono", "35.18.08","Lengkong","35.18.19","Loceret","35.18.04","Tanjunganom","35.18.11","Wilangan","35.18.15")</f>
        <v>35.18.08</v>
      </c>
      <c r="E783" s="16" t="s">
        <v>128</v>
      </c>
      <c r="F783" s="33" t="s">
        <v>1988</v>
      </c>
      <c r="G783" s="33" t="s">
        <v>2027</v>
      </c>
      <c r="H783" s="16" t="s">
        <v>31</v>
      </c>
      <c r="I783" s="16">
        <v>1</v>
      </c>
      <c r="J783" s="16">
        <v>1</v>
      </c>
      <c r="K783" s="16">
        <f t="shared" si="14"/>
        <v>2</v>
      </c>
      <c r="L783" s="38">
        <v>115000</v>
      </c>
      <c r="M783" s="17" t="s">
        <v>1120</v>
      </c>
      <c r="N783" s="67">
        <v>16</v>
      </c>
      <c r="O783" s="16" t="s">
        <v>422</v>
      </c>
      <c r="P783" s="30">
        <v>2160000</v>
      </c>
      <c r="Q783" s="33" t="s">
        <v>1642</v>
      </c>
      <c r="R783" s="38">
        <v>16</v>
      </c>
      <c r="S783" s="16" t="s">
        <v>422</v>
      </c>
      <c r="T783" s="30">
        <v>1008000</v>
      </c>
      <c r="U783" s="16" t="s">
        <v>22</v>
      </c>
      <c r="V783" s="20">
        <v>0</v>
      </c>
      <c r="W783" s="16">
        <v>0</v>
      </c>
      <c r="X783" s="16">
        <v>0</v>
      </c>
      <c r="Y783" s="16">
        <v>50</v>
      </c>
      <c r="Z783" s="16">
        <v>50</v>
      </c>
      <c r="AA783" s="16">
        <v>0</v>
      </c>
      <c r="AB783" s="16">
        <v>0</v>
      </c>
      <c r="AC783" s="16"/>
      <c r="AD783" s="68"/>
      <c r="AE783" s="23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</row>
    <row r="784" spans="1:84" s="2" customFormat="1" x14ac:dyDescent="0.2">
      <c r="A784" s="17" t="s">
        <v>3921</v>
      </c>
      <c r="B784" s="17" t="s">
        <v>45</v>
      </c>
      <c r="C784" s="17">
        <v>2025</v>
      </c>
      <c r="D784" s="17" t="str">
        <f t="array" ref="D784">_xlfn.SWITCH(E784,"Bagor","35.18.14","Sukomoro",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84" s="16" t="s">
        <v>162</v>
      </c>
      <c r="F784" s="33" t="s">
        <v>1769</v>
      </c>
      <c r="G784" s="33" t="s">
        <v>2028</v>
      </c>
      <c r="H784" s="16" t="s">
        <v>31</v>
      </c>
      <c r="I784" s="16">
        <v>2</v>
      </c>
      <c r="J784" s="16">
        <v>0</v>
      </c>
      <c r="K784" s="16">
        <f t="shared" si="14"/>
        <v>2</v>
      </c>
      <c r="L784" s="38">
        <v>5000000</v>
      </c>
      <c r="M784" s="17" t="s">
        <v>2018</v>
      </c>
      <c r="N784" s="67">
        <f>75*12*26</f>
        <v>23400</v>
      </c>
      <c r="O784" s="16" t="s">
        <v>422</v>
      </c>
      <c r="P784" s="30">
        <v>10530000</v>
      </c>
      <c r="Q784" s="33" t="s">
        <v>1787</v>
      </c>
      <c r="R784" s="38">
        <f>75*12*13</f>
        <v>11700</v>
      </c>
      <c r="S784" s="16" t="s">
        <v>422</v>
      </c>
      <c r="T784" s="30">
        <v>5850000</v>
      </c>
      <c r="U784" s="16" t="s">
        <v>22</v>
      </c>
      <c r="V784" s="20" t="s">
        <v>57</v>
      </c>
      <c r="W784" s="16"/>
      <c r="X784" s="16"/>
      <c r="Y784" s="16">
        <v>35</v>
      </c>
      <c r="Z784" s="16">
        <v>30</v>
      </c>
      <c r="AA784" s="16">
        <v>35</v>
      </c>
      <c r="AB784" s="16">
        <v>0</v>
      </c>
      <c r="AC784" s="16"/>
      <c r="AD784" s="68"/>
      <c r="AE784" s="23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</row>
    <row r="785" spans="1:84" s="2" customFormat="1" x14ac:dyDescent="0.2">
      <c r="A785" s="17" t="s">
        <v>3921</v>
      </c>
      <c r="B785" s="17" t="s">
        <v>45</v>
      </c>
      <c r="C785" s="17">
        <v>2025</v>
      </c>
      <c r="D785" s="17" t="str">
        <f t="array" ref="D785">_xlfn.SWITCH(E785,"Bagor","35.18.14","Sukomoro",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785" s="16" t="s">
        <v>140</v>
      </c>
      <c r="F785" s="33" t="s">
        <v>1769</v>
      </c>
      <c r="G785" s="33" t="s">
        <v>1966</v>
      </c>
      <c r="H785" s="16" t="s">
        <v>31</v>
      </c>
      <c r="I785" s="16">
        <v>3</v>
      </c>
      <c r="J785" s="16">
        <v>0</v>
      </c>
      <c r="K785" s="16">
        <f t="shared" si="14"/>
        <v>3</v>
      </c>
      <c r="L785" s="38">
        <v>5000000</v>
      </c>
      <c r="M785" s="17" t="s">
        <v>2018</v>
      </c>
      <c r="N785" s="67">
        <f>125*12*26</f>
        <v>39000</v>
      </c>
      <c r="O785" s="16" t="s">
        <v>422</v>
      </c>
      <c r="P785" s="30">
        <v>19500000</v>
      </c>
      <c r="Q785" s="33" t="s">
        <v>1787</v>
      </c>
      <c r="R785" s="38">
        <f>125*12*13</f>
        <v>19500</v>
      </c>
      <c r="S785" s="16" t="s">
        <v>422</v>
      </c>
      <c r="T785" s="30">
        <v>8775000</v>
      </c>
      <c r="U785" s="16" t="s">
        <v>22</v>
      </c>
      <c r="V785" s="20">
        <v>0</v>
      </c>
      <c r="W785" s="16">
        <v>0</v>
      </c>
      <c r="X785" s="16">
        <v>0</v>
      </c>
      <c r="Y785" s="16">
        <v>70</v>
      </c>
      <c r="Z785" s="16">
        <v>30</v>
      </c>
      <c r="AA785" s="16">
        <v>0</v>
      </c>
      <c r="AB785" s="16">
        <v>0</v>
      </c>
      <c r="AC785" s="16"/>
      <c r="AD785" s="68"/>
      <c r="AE785" s="23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</row>
    <row r="786" spans="1:84" s="2" customFormat="1" x14ac:dyDescent="0.2">
      <c r="A786" s="17" t="s">
        <v>3921</v>
      </c>
      <c r="B786" s="17" t="s">
        <v>45</v>
      </c>
      <c r="C786" s="17">
        <v>2025</v>
      </c>
      <c r="D786" s="17" t="str">
        <f t="array" ref="D786">_xlfn.SWITCH(E786,"Bagor","35.18.14","Sukomoro",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786" s="16" t="s">
        <v>140</v>
      </c>
      <c r="F786" s="33" t="s">
        <v>1769</v>
      </c>
      <c r="G786" s="33" t="s">
        <v>2029</v>
      </c>
      <c r="H786" s="16" t="s">
        <v>31</v>
      </c>
      <c r="I786" s="16">
        <v>1</v>
      </c>
      <c r="J786" s="16">
        <v>3</v>
      </c>
      <c r="K786" s="16">
        <f t="shared" si="14"/>
        <v>4</v>
      </c>
      <c r="L786" s="38">
        <v>2500000</v>
      </c>
      <c r="M786" s="17" t="s">
        <v>2018</v>
      </c>
      <c r="N786" s="67">
        <f>25*12*26</f>
        <v>7800</v>
      </c>
      <c r="O786" s="16" t="s">
        <v>422</v>
      </c>
      <c r="P786" s="30">
        <v>4680000</v>
      </c>
      <c r="Q786" s="33" t="s">
        <v>1787</v>
      </c>
      <c r="R786" s="38">
        <f>25*12*13</f>
        <v>3900</v>
      </c>
      <c r="S786" s="16" t="s">
        <v>422</v>
      </c>
      <c r="T786" s="30">
        <v>1950000</v>
      </c>
      <c r="U786" s="16" t="s">
        <v>22</v>
      </c>
      <c r="V786" s="20" t="s">
        <v>57</v>
      </c>
      <c r="W786" s="16">
        <v>1500</v>
      </c>
      <c r="X786" s="16" t="s">
        <v>51</v>
      </c>
      <c r="Y786" s="16">
        <v>30</v>
      </c>
      <c r="Z786" s="16">
        <v>30</v>
      </c>
      <c r="AA786" s="16">
        <v>40</v>
      </c>
      <c r="AB786" s="16">
        <v>0</v>
      </c>
      <c r="AC786" s="16"/>
      <c r="AD786" s="68"/>
      <c r="AE786" s="23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</row>
    <row r="787" spans="1:84" s="2" customFormat="1" x14ac:dyDescent="0.2">
      <c r="A787" s="17" t="s">
        <v>3921</v>
      </c>
      <c r="B787" s="17" t="s">
        <v>45</v>
      </c>
      <c r="C787" s="17">
        <v>2025</v>
      </c>
      <c r="D787" s="17" t="str">
        <f t="array" ref="D787">_xlfn.SWITCH(E787,"Jatikalen","35.18.20","Kertosono", "35.18.08","Lengkong","35.18.19","Loceret","35.18.04","Tanjunganom","35.18.11","Wilangan","35.18.15")</f>
        <v>35.18.04</v>
      </c>
      <c r="E787" s="16" t="s">
        <v>41</v>
      </c>
      <c r="F787" s="33" t="s">
        <v>1970</v>
      </c>
      <c r="G787" s="33" t="s">
        <v>2030</v>
      </c>
      <c r="H787" s="16" t="s">
        <v>31</v>
      </c>
      <c r="I787" s="16">
        <v>1</v>
      </c>
      <c r="J787" s="16">
        <v>3</v>
      </c>
      <c r="K787" s="16">
        <f t="shared" si="14"/>
        <v>4</v>
      </c>
      <c r="L787" s="38">
        <v>10000000</v>
      </c>
      <c r="M787" s="17" t="s">
        <v>258</v>
      </c>
      <c r="N787" s="67">
        <f>15*12*26</f>
        <v>4680</v>
      </c>
      <c r="O787" s="16" t="s">
        <v>1803</v>
      </c>
      <c r="P787" s="30">
        <v>117000000</v>
      </c>
      <c r="Q787" s="33" t="s">
        <v>1958</v>
      </c>
      <c r="R787" s="38">
        <v>100000</v>
      </c>
      <c r="S787" s="16" t="s">
        <v>1130</v>
      </c>
      <c r="T787" s="30">
        <v>40000000</v>
      </c>
      <c r="U787" s="16" t="s">
        <v>22</v>
      </c>
      <c r="V787" s="20">
        <v>0</v>
      </c>
      <c r="W787" s="16">
        <v>0</v>
      </c>
      <c r="X787" s="16">
        <v>0</v>
      </c>
      <c r="Y787" s="16">
        <v>75</v>
      </c>
      <c r="Z787" s="16">
        <v>25</v>
      </c>
      <c r="AA787" s="16">
        <v>0</v>
      </c>
      <c r="AB787" s="16">
        <v>0</v>
      </c>
      <c r="AC787" s="16"/>
      <c r="AD787" s="68"/>
      <c r="AE787" s="23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</row>
    <row r="788" spans="1:84" s="2" customFormat="1" x14ac:dyDescent="0.2">
      <c r="A788" s="17" t="s">
        <v>3921</v>
      </c>
      <c r="B788" s="17" t="s">
        <v>45</v>
      </c>
      <c r="C788" s="17">
        <v>2025</v>
      </c>
      <c r="D788" s="17" t="str">
        <f t="array" ref="D788">_xlfn.SWITCH(E788,"Jatikalen","35.18.20","Kertosono", "35.18.08","Lengkong","35.18.19","Loceret","35.18.04","Tanjunganom","35.18.11","Wilangan","35.18.15")</f>
        <v>35.18.04</v>
      </c>
      <c r="E788" s="16" t="s">
        <v>41</v>
      </c>
      <c r="F788" s="33" t="s">
        <v>1970</v>
      </c>
      <c r="G788" s="33" t="s">
        <v>2031</v>
      </c>
      <c r="H788" s="16" t="s">
        <v>31</v>
      </c>
      <c r="I788" s="16">
        <v>0</v>
      </c>
      <c r="J788" s="16">
        <v>8</v>
      </c>
      <c r="K788" s="16">
        <f t="shared" si="14"/>
        <v>8</v>
      </c>
      <c r="L788" s="38">
        <v>25000000</v>
      </c>
      <c r="M788" s="17" t="s">
        <v>258</v>
      </c>
      <c r="N788" s="67">
        <f>40*12*7</f>
        <v>3360</v>
      </c>
      <c r="O788" s="16" t="s">
        <v>1803</v>
      </c>
      <c r="P788" s="30">
        <v>110880000</v>
      </c>
      <c r="Q788" s="33" t="s">
        <v>1958</v>
      </c>
      <c r="R788" s="38">
        <f>13*12*26</f>
        <v>4056</v>
      </c>
      <c r="S788" s="16" t="s">
        <v>1130</v>
      </c>
      <c r="T788" s="30">
        <v>79092000</v>
      </c>
      <c r="U788" s="16" t="s">
        <v>22</v>
      </c>
      <c r="V788" s="20">
        <v>0</v>
      </c>
      <c r="W788" s="16">
        <v>0</v>
      </c>
      <c r="X788" s="16">
        <v>0</v>
      </c>
      <c r="Y788" s="16">
        <v>65</v>
      </c>
      <c r="Z788" s="16">
        <v>35</v>
      </c>
      <c r="AA788" s="16">
        <v>0</v>
      </c>
      <c r="AB788" s="16">
        <v>0</v>
      </c>
      <c r="AC788" s="16"/>
      <c r="AD788" s="68"/>
      <c r="AE788" s="23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</row>
    <row r="789" spans="1:84" s="2" customFormat="1" x14ac:dyDescent="0.2">
      <c r="A789" s="17" t="s">
        <v>3921</v>
      </c>
      <c r="B789" s="17" t="s">
        <v>45</v>
      </c>
      <c r="C789" s="17">
        <v>2025</v>
      </c>
      <c r="D789" s="17" t="str">
        <f t="array" ref="D789">_xlfn.SWITCH(E789,"Jatikalen","35.18.20","Kertosono", "35.18.08","Lengkong","35.18.19","Loceret","35.18.04","Tanjunganom","35.18.11","Wilangan","35.18.15")</f>
        <v>35.18.04</v>
      </c>
      <c r="E789" s="16" t="s">
        <v>41</v>
      </c>
      <c r="F789" s="33" t="s">
        <v>1970</v>
      </c>
      <c r="G789" s="33" t="s">
        <v>2032</v>
      </c>
      <c r="H789" s="16" t="s">
        <v>31</v>
      </c>
      <c r="I789" s="16">
        <v>5</v>
      </c>
      <c r="J789" s="16">
        <v>4</v>
      </c>
      <c r="K789" s="16">
        <f t="shared" si="14"/>
        <v>9</v>
      </c>
      <c r="L789" s="38">
        <v>30000000</v>
      </c>
      <c r="M789" s="17" t="s">
        <v>258</v>
      </c>
      <c r="N789" s="67">
        <f>70*12*10</f>
        <v>8400</v>
      </c>
      <c r="O789" s="16" t="s">
        <v>1803</v>
      </c>
      <c r="P789" s="30">
        <v>106680000</v>
      </c>
      <c r="Q789" s="33" t="s">
        <v>1958</v>
      </c>
      <c r="R789" s="38">
        <v>20000</v>
      </c>
      <c r="S789" s="16" t="s">
        <v>1130</v>
      </c>
      <c r="T789" s="30">
        <v>50000000</v>
      </c>
      <c r="U789" s="16" t="s">
        <v>22</v>
      </c>
      <c r="V789" s="20">
        <v>0</v>
      </c>
      <c r="W789" s="16">
        <v>0</v>
      </c>
      <c r="X789" s="16">
        <v>0</v>
      </c>
      <c r="Y789" s="16">
        <v>60</v>
      </c>
      <c r="Z789" s="16">
        <v>40</v>
      </c>
      <c r="AA789" s="16">
        <v>0</v>
      </c>
      <c r="AB789" s="16">
        <v>0</v>
      </c>
      <c r="AC789" s="16"/>
      <c r="AD789" s="68"/>
      <c r="AE789" s="23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</row>
    <row r="790" spans="1:84" s="2" customFormat="1" x14ac:dyDescent="0.2">
      <c r="A790" s="17" t="s">
        <v>3921</v>
      </c>
      <c r="B790" s="17" t="s">
        <v>45</v>
      </c>
      <c r="C790" s="17">
        <v>2025</v>
      </c>
      <c r="D790" s="17" t="str">
        <f t="array" ref="D790">_xlfn.SWITCH(E790,"Jatikalen","35.18.20","Kertosono", "35.18.08","Lengkong","35.18.19","Loceret","35.18.04","Tanjunganom","35.18.11","Wilangan","35.18.15")</f>
        <v>35.18.04</v>
      </c>
      <c r="E790" s="16" t="s">
        <v>41</v>
      </c>
      <c r="F790" s="33" t="s">
        <v>1970</v>
      </c>
      <c r="G790" s="33" t="s">
        <v>2033</v>
      </c>
      <c r="H790" s="16" t="s">
        <v>31</v>
      </c>
      <c r="I790" s="16">
        <v>2</v>
      </c>
      <c r="J790" s="16">
        <v>4</v>
      </c>
      <c r="K790" s="16">
        <f t="shared" si="14"/>
        <v>6</v>
      </c>
      <c r="L790" s="38">
        <v>10000000</v>
      </c>
      <c r="M790" s="17" t="s">
        <v>258</v>
      </c>
      <c r="N790" s="67">
        <f>500*12</f>
        <v>6000</v>
      </c>
      <c r="O790" s="16" t="s">
        <v>1803</v>
      </c>
      <c r="P790" s="30">
        <v>138000000</v>
      </c>
      <c r="Q790" s="33" t="s">
        <v>1958</v>
      </c>
      <c r="R790" s="38">
        <v>30000</v>
      </c>
      <c r="S790" s="16" t="s">
        <v>1130</v>
      </c>
      <c r="T790" s="30">
        <v>57000000</v>
      </c>
      <c r="U790" s="16" t="s">
        <v>22</v>
      </c>
      <c r="V790" s="20">
        <v>0</v>
      </c>
      <c r="W790" s="16">
        <v>0</v>
      </c>
      <c r="X790" s="16">
        <v>0</v>
      </c>
      <c r="Y790" s="16">
        <v>65</v>
      </c>
      <c r="Z790" s="16">
        <v>35</v>
      </c>
      <c r="AA790" s="16">
        <v>0</v>
      </c>
      <c r="AB790" s="16">
        <v>0</v>
      </c>
      <c r="AC790" s="16"/>
      <c r="AD790" s="68"/>
      <c r="AE790" s="23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</row>
    <row r="791" spans="1:84" s="2" customFormat="1" x14ac:dyDescent="0.2">
      <c r="A791" s="17" t="s">
        <v>3921</v>
      </c>
      <c r="B791" s="17" t="s">
        <v>45</v>
      </c>
      <c r="C791" s="17">
        <v>2025</v>
      </c>
      <c r="D791" s="17" t="str">
        <f t="array" ref="D791">_xlfn.SWITCH(E791,"Jatikalen","35.18.20","Kertosono", "35.18.08","Lengkong","35.18.19","Loceret","35.18.04","Tanjunganom","35.18.11","Wilangan","35.18.15")</f>
        <v>35.18.04</v>
      </c>
      <c r="E791" s="16" t="s">
        <v>41</v>
      </c>
      <c r="F791" s="33" t="s">
        <v>1970</v>
      </c>
      <c r="G791" s="33" t="s">
        <v>2034</v>
      </c>
      <c r="H791" s="16" t="s">
        <v>31</v>
      </c>
      <c r="I791" s="16">
        <v>3</v>
      </c>
      <c r="J791" s="16">
        <v>3</v>
      </c>
      <c r="K791" s="16">
        <f t="shared" si="14"/>
        <v>6</v>
      </c>
      <c r="L791" s="38">
        <v>10000000</v>
      </c>
      <c r="M791" s="17" t="s">
        <v>258</v>
      </c>
      <c r="N791" s="67">
        <f>200*12</f>
        <v>2400</v>
      </c>
      <c r="O791" s="16" t="s">
        <v>1803</v>
      </c>
      <c r="P791" s="30">
        <v>74400000</v>
      </c>
      <c r="Q791" s="33" t="s">
        <v>1958</v>
      </c>
      <c r="R791" s="38">
        <v>15000</v>
      </c>
      <c r="S791" s="16" t="s">
        <v>1130</v>
      </c>
      <c r="T791" s="30">
        <v>30000000</v>
      </c>
      <c r="U791" s="16" t="s">
        <v>22</v>
      </c>
      <c r="V791" s="20">
        <v>0</v>
      </c>
      <c r="W791" s="16">
        <v>0</v>
      </c>
      <c r="X791" s="16">
        <v>0</v>
      </c>
      <c r="Y791" s="16">
        <v>50</v>
      </c>
      <c r="Z791" s="16">
        <v>30</v>
      </c>
      <c r="AA791" s="16">
        <v>20</v>
      </c>
      <c r="AB791" s="16">
        <v>0</v>
      </c>
      <c r="AC791" s="16"/>
      <c r="AD791" s="68"/>
      <c r="AE791" s="23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</row>
    <row r="792" spans="1:84" s="2" customFormat="1" x14ac:dyDescent="0.2">
      <c r="A792" s="17" t="s">
        <v>3921</v>
      </c>
      <c r="B792" s="17" t="s">
        <v>45</v>
      </c>
      <c r="C792" s="17">
        <v>2025</v>
      </c>
      <c r="D792" s="17" t="str">
        <f t="array" ref="D792">_xlfn.SWITCH(E792,"Jatikalen","35.18.20","Kertosono", "35.18.08","Lengkong","35.18.19","Loceret","35.18.04","Tanjunganom","35.18.11","Wilangan","35.18.15")</f>
        <v>35.18.04</v>
      </c>
      <c r="E792" s="16" t="s">
        <v>41</v>
      </c>
      <c r="F792" s="33" t="s">
        <v>1970</v>
      </c>
      <c r="G792" s="33" t="s">
        <v>2035</v>
      </c>
      <c r="H792" s="16" t="s">
        <v>31</v>
      </c>
      <c r="I792" s="16">
        <v>5</v>
      </c>
      <c r="J792" s="16">
        <v>5</v>
      </c>
      <c r="K792" s="16">
        <f t="shared" si="14"/>
        <v>10</v>
      </c>
      <c r="L792" s="38">
        <v>10000000</v>
      </c>
      <c r="M792" s="17" t="s">
        <v>258</v>
      </c>
      <c r="N792" s="67">
        <f>100*12*13</f>
        <v>15600</v>
      </c>
      <c r="O792" s="16" t="s">
        <v>1803</v>
      </c>
      <c r="P792" s="30">
        <v>156000000</v>
      </c>
      <c r="Q792" s="33" t="s">
        <v>1958</v>
      </c>
      <c r="R792" s="38">
        <v>20000</v>
      </c>
      <c r="S792" s="16" t="s">
        <v>1130</v>
      </c>
      <c r="T792" s="30">
        <v>90000000</v>
      </c>
      <c r="U792" s="16" t="s">
        <v>22</v>
      </c>
      <c r="V792" s="20">
        <v>0</v>
      </c>
      <c r="W792" s="16">
        <v>0</v>
      </c>
      <c r="X792" s="16">
        <v>0</v>
      </c>
      <c r="Y792" s="16">
        <v>40</v>
      </c>
      <c r="Z792" s="16">
        <v>35</v>
      </c>
      <c r="AA792" s="16">
        <v>25</v>
      </c>
      <c r="AB792" s="16">
        <v>0</v>
      </c>
      <c r="AC792" s="16"/>
      <c r="AD792" s="68"/>
      <c r="AE792" s="23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</row>
    <row r="793" spans="1:84" s="2" customFormat="1" x14ac:dyDescent="0.2">
      <c r="A793" s="17" t="s">
        <v>3921</v>
      </c>
      <c r="B793" s="17" t="s">
        <v>45</v>
      </c>
      <c r="C793" s="17">
        <v>2025</v>
      </c>
      <c r="D793" s="17" t="str">
        <f t="array" ref="D793">_xlfn.SWITCH(E793,"Jatikalen","35.18.20","Kertosono", "35.18.08","Lengkong","35.18.19","Loceret","35.18.04","Tanjunganom","35.18.11","Wilangan","35.18.15")</f>
        <v>35.18.11</v>
      </c>
      <c r="E793" s="16" t="s">
        <v>60</v>
      </c>
      <c r="F793" s="33" t="s">
        <v>1801</v>
      </c>
      <c r="G793" s="33" t="s">
        <v>2036</v>
      </c>
      <c r="H793" s="16" t="s">
        <v>31</v>
      </c>
      <c r="I793" s="16">
        <v>3</v>
      </c>
      <c r="J793" s="16">
        <v>0</v>
      </c>
      <c r="K793" s="16">
        <f t="shared" si="14"/>
        <v>3</v>
      </c>
      <c r="L793" s="38">
        <v>3500000</v>
      </c>
      <c r="M793" s="17" t="s">
        <v>2037</v>
      </c>
      <c r="N793" s="67">
        <f>35*12*4</f>
        <v>1680</v>
      </c>
      <c r="O793" s="16" t="s">
        <v>49</v>
      </c>
      <c r="P793" s="30">
        <v>31920000</v>
      </c>
      <c r="Q793" s="33" t="s">
        <v>1913</v>
      </c>
      <c r="R793" s="38">
        <f>13*12*4</f>
        <v>624</v>
      </c>
      <c r="S793" s="16" t="s">
        <v>422</v>
      </c>
      <c r="T793" s="30">
        <v>10608000</v>
      </c>
      <c r="U793" s="16" t="s">
        <v>22</v>
      </c>
      <c r="V793" s="20" t="s">
        <v>1578</v>
      </c>
      <c r="W793" s="16"/>
      <c r="X793" s="16"/>
      <c r="Y793" s="16">
        <v>40</v>
      </c>
      <c r="Z793" s="16">
        <v>30</v>
      </c>
      <c r="AA793" s="16">
        <v>30</v>
      </c>
      <c r="AB793" s="16">
        <v>0</v>
      </c>
      <c r="AC793" s="16"/>
      <c r="AD793" s="68"/>
      <c r="AE793" s="23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</row>
    <row r="794" spans="1:84" s="2" customFormat="1" x14ac:dyDescent="0.2">
      <c r="A794" s="17" t="s">
        <v>3921</v>
      </c>
      <c r="B794" s="17" t="s">
        <v>45</v>
      </c>
      <c r="C794" s="17">
        <v>2025</v>
      </c>
      <c r="D794" s="17" t="str">
        <f t="array" ref="D794">_xlfn.SWITCH(E794,"Jatikalen","35.18.20","Kertosono", "35.18.08","Lengkong","35.18.19","Loceret","35.18.04","Tanjunganom","35.18.11","Wilangan","35.18.15")</f>
        <v>35.18.11</v>
      </c>
      <c r="E794" s="16" t="s">
        <v>60</v>
      </c>
      <c r="F794" s="33" t="s">
        <v>1801</v>
      </c>
      <c r="G794" s="33" t="s">
        <v>2038</v>
      </c>
      <c r="H794" s="16" t="s">
        <v>31</v>
      </c>
      <c r="I794" s="16">
        <v>2</v>
      </c>
      <c r="J794" s="16">
        <v>0</v>
      </c>
      <c r="K794" s="16">
        <f t="shared" si="14"/>
        <v>2</v>
      </c>
      <c r="L794" s="38">
        <v>3500000</v>
      </c>
      <c r="M794" s="17" t="s">
        <v>2037</v>
      </c>
      <c r="N794" s="67">
        <f>18*12*4</f>
        <v>864</v>
      </c>
      <c r="O794" s="16" t="s">
        <v>49</v>
      </c>
      <c r="P794" s="30">
        <v>25920000</v>
      </c>
      <c r="Q794" s="33" t="s">
        <v>1913</v>
      </c>
      <c r="R794" s="38">
        <f>7*12*4</f>
        <v>336</v>
      </c>
      <c r="S794" s="16" t="s">
        <v>422</v>
      </c>
      <c r="T794" s="30">
        <v>6216000</v>
      </c>
      <c r="U794" s="16" t="s">
        <v>22</v>
      </c>
      <c r="V794" s="20" t="s">
        <v>1578</v>
      </c>
      <c r="W794" s="16"/>
      <c r="X794" s="16"/>
      <c r="Y794" s="16">
        <v>35</v>
      </c>
      <c r="Z794" s="16">
        <v>40</v>
      </c>
      <c r="AA794" s="16">
        <v>25</v>
      </c>
      <c r="AB794" s="16">
        <v>0</v>
      </c>
      <c r="AC794" s="16"/>
      <c r="AD794" s="68"/>
      <c r="AE794" s="23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</row>
    <row r="795" spans="1:84" s="2" customFormat="1" x14ac:dyDescent="0.2">
      <c r="A795" s="17" t="s">
        <v>3921</v>
      </c>
      <c r="B795" s="17" t="s">
        <v>45</v>
      </c>
      <c r="C795" s="17">
        <v>2025</v>
      </c>
      <c r="D795" s="17" t="str">
        <f t="array" ref="D795">_xlfn.SWITCH(E795,"Jatikalen","35.18.20","Kertosono", "35.18.08","Lengkong","35.18.19","Loceret","35.18.04","Tanjunganom","35.18.11","Wilangan","35.18.15")</f>
        <v>35.18.11</v>
      </c>
      <c r="E795" s="16" t="s">
        <v>60</v>
      </c>
      <c r="F795" s="33" t="s">
        <v>1801</v>
      </c>
      <c r="G795" s="33" t="s">
        <v>2039</v>
      </c>
      <c r="H795" s="16" t="s">
        <v>31</v>
      </c>
      <c r="I795" s="16">
        <v>3</v>
      </c>
      <c r="J795" s="16">
        <v>0</v>
      </c>
      <c r="K795" s="16">
        <f t="shared" si="14"/>
        <v>3</v>
      </c>
      <c r="L795" s="38">
        <v>3000000</v>
      </c>
      <c r="M795" s="17" t="s">
        <v>2037</v>
      </c>
      <c r="N795" s="67">
        <f>25*12*4</f>
        <v>1200</v>
      </c>
      <c r="O795" s="16" t="s">
        <v>49</v>
      </c>
      <c r="P795" s="30">
        <v>24000000</v>
      </c>
      <c r="Q795" s="33" t="s">
        <v>1913</v>
      </c>
      <c r="R795" s="38">
        <f>12*12*4</f>
        <v>576</v>
      </c>
      <c r="S795" s="16" t="s">
        <v>422</v>
      </c>
      <c r="T795" s="30">
        <v>9792000</v>
      </c>
      <c r="U795" s="16" t="s">
        <v>22</v>
      </c>
      <c r="V795" s="20" t="s">
        <v>1578</v>
      </c>
      <c r="W795" s="16"/>
      <c r="X795" s="16"/>
      <c r="Y795" s="16">
        <v>50</v>
      </c>
      <c r="Z795" s="16">
        <v>40</v>
      </c>
      <c r="AA795" s="16">
        <v>10</v>
      </c>
      <c r="AB795" s="16">
        <v>0</v>
      </c>
      <c r="AC795" s="16"/>
      <c r="AD795" s="68"/>
      <c r="AE795" s="23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</row>
    <row r="796" spans="1:84" s="2" customFormat="1" x14ac:dyDescent="0.2">
      <c r="A796" s="17" t="s">
        <v>3921</v>
      </c>
      <c r="B796" s="17" t="s">
        <v>45</v>
      </c>
      <c r="C796" s="17">
        <v>2025</v>
      </c>
      <c r="D796" s="17" t="str">
        <f t="array" ref="D796">_xlfn.SWITCH(E796,"Jatikalen","35.18.20","Kertosono", "35.18.08","Lengkong","35.18.19","Loceret","35.18.04","Tanjunganom","35.18.11","Wilangan","35.18.15")</f>
        <v>35.18.11</v>
      </c>
      <c r="E796" s="16" t="s">
        <v>60</v>
      </c>
      <c r="F796" s="33" t="s">
        <v>1801</v>
      </c>
      <c r="G796" s="33" t="s">
        <v>1749</v>
      </c>
      <c r="H796" s="16" t="s">
        <v>31</v>
      </c>
      <c r="I796" s="16">
        <v>3</v>
      </c>
      <c r="J796" s="16">
        <v>0</v>
      </c>
      <c r="K796" s="16">
        <f t="shared" si="14"/>
        <v>3</v>
      </c>
      <c r="L796" s="38">
        <v>4000000</v>
      </c>
      <c r="M796" s="17" t="s">
        <v>2037</v>
      </c>
      <c r="N796" s="67">
        <f>60*12*4</f>
        <v>2880</v>
      </c>
      <c r="O796" s="16" t="s">
        <v>49</v>
      </c>
      <c r="P796" s="30">
        <v>28800000</v>
      </c>
      <c r="Q796" s="33" t="s">
        <v>1913</v>
      </c>
      <c r="R796" s="38">
        <f>15*12*4</f>
        <v>720</v>
      </c>
      <c r="S796" s="16" t="s">
        <v>422</v>
      </c>
      <c r="T796" s="30">
        <v>12240000</v>
      </c>
      <c r="U796" s="16" t="s">
        <v>22</v>
      </c>
      <c r="V796" s="20" t="s">
        <v>1578</v>
      </c>
      <c r="W796" s="16"/>
      <c r="X796" s="16"/>
      <c r="Y796" s="16">
        <v>40</v>
      </c>
      <c r="Z796" s="16">
        <v>30</v>
      </c>
      <c r="AA796" s="16">
        <v>30</v>
      </c>
      <c r="AB796" s="16">
        <v>0</v>
      </c>
      <c r="AC796" s="16"/>
      <c r="AD796" s="68"/>
      <c r="AE796" s="23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</row>
    <row r="797" spans="1:84" s="2" customFormat="1" x14ac:dyDescent="0.2">
      <c r="A797" s="17" t="s">
        <v>3921</v>
      </c>
      <c r="B797" s="17" t="s">
        <v>45</v>
      </c>
      <c r="C797" s="17">
        <v>2025</v>
      </c>
      <c r="D797" s="17" t="str">
        <f t="array" ref="D797">_xlfn.SWITCH(E797,"Jatikalen","35.18.20","Kertosono", "35.18.08","Lengkong","35.18.19","Loceret","35.18.04","Tanjunganom","35.18.11","Wilangan","35.18.15")</f>
        <v>35.18.11</v>
      </c>
      <c r="E797" s="16" t="s">
        <v>60</v>
      </c>
      <c r="F797" s="33" t="s">
        <v>1801</v>
      </c>
      <c r="G797" s="33" t="s">
        <v>2040</v>
      </c>
      <c r="H797" s="16" t="s">
        <v>31</v>
      </c>
      <c r="I797" s="16">
        <v>5</v>
      </c>
      <c r="J797" s="16">
        <v>0</v>
      </c>
      <c r="K797" s="16">
        <f t="shared" si="14"/>
        <v>5</v>
      </c>
      <c r="L797" s="38">
        <v>3500000</v>
      </c>
      <c r="M797" s="17" t="s">
        <v>2037</v>
      </c>
      <c r="N797" s="67">
        <f>36*12*4</f>
        <v>1728</v>
      </c>
      <c r="O797" s="16" t="s">
        <v>49</v>
      </c>
      <c r="P797" s="30">
        <v>43200000</v>
      </c>
      <c r="Q797" s="33" t="s">
        <v>1913</v>
      </c>
      <c r="R797" s="38">
        <f>13*12*4</f>
        <v>624</v>
      </c>
      <c r="S797" s="16" t="s">
        <v>422</v>
      </c>
      <c r="T797" s="30">
        <v>11232000</v>
      </c>
      <c r="U797" s="16" t="s">
        <v>22</v>
      </c>
      <c r="V797" s="20">
        <v>0</v>
      </c>
      <c r="W797" s="16">
        <v>0</v>
      </c>
      <c r="X797" s="16">
        <v>0</v>
      </c>
      <c r="Y797" s="16">
        <v>50</v>
      </c>
      <c r="Z797" s="16">
        <v>30</v>
      </c>
      <c r="AA797" s="16">
        <v>20</v>
      </c>
      <c r="AB797" s="16">
        <v>0</v>
      </c>
      <c r="AC797" s="16"/>
      <c r="AD797" s="68"/>
      <c r="AE797" s="23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</row>
    <row r="798" spans="1:84" s="2" customFormat="1" x14ac:dyDescent="0.2">
      <c r="A798" s="17" t="s">
        <v>3921</v>
      </c>
      <c r="B798" s="17" t="s">
        <v>45</v>
      </c>
      <c r="C798" s="17">
        <v>2025</v>
      </c>
      <c r="D798" s="17" t="str">
        <f t="array" ref="D798">_xlfn.SWITCH(E798,"Jatikalen","35.18.20","Kertosono", "35.18.08","Lengkong","35.18.19","Loceret","35.18.04","Tanjunganom","35.18.11","Wilangan","35.18.15")</f>
        <v>35.18.11</v>
      </c>
      <c r="E798" s="16" t="s">
        <v>60</v>
      </c>
      <c r="F798" s="33" t="s">
        <v>1801</v>
      </c>
      <c r="G798" s="33" t="s">
        <v>2041</v>
      </c>
      <c r="H798" s="16" t="s">
        <v>31</v>
      </c>
      <c r="I798" s="16">
        <v>3</v>
      </c>
      <c r="J798" s="16">
        <v>0</v>
      </c>
      <c r="K798" s="16">
        <f t="shared" si="14"/>
        <v>3</v>
      </c>
      <c r="L798" s="38">
        <v>2500000</v>
      </c>
      <c r="M798" s="17" t="s">
        <v>2037</v>
      </c>
      <c r="N798" s="67">
        <f>24*12*4</f>
        <v>1152</v>
      </c>
      <c r="O798" s="16" t="s">
        <v>49</v>
      </c>
      <c r="P798" s="30">
        <v>20160000</v>
      </c>
      <c r="Q798" s="33" t="s">
        <v>1913</v>
      </c>
      <c r="R798" s="38">
        <f>8*12*4</f>
        <v>384</v>
      </c>
      <c r="S798" s="16" t="s">
        <v>422</v>
      </c>
      <c r="T798" s="30">
        <v>6528000</v>
      </c>
      <c r="U798" s="16" t="s">
        <v>22</v>
      </c>
      <c r="V798" s="20" t="s">
        <v>1578</v>
      </c>
      <c r="W798" s="16"/>
      <c r="X798" s="16"/>
      <c r="Y798" s="16">
        <v>45</v>
      </c>
      <c r="Z798" s="16">
        <v>30</v>
      </c>
      <c r="AA798" s="16">
        <v>25</v>
      </c>
      <c r="AB798" s="16">
        <v>0</v>
      </c>
      <c r="AC798" s="16"/>
      <c r="AD798" s="68"/>
      <c r="AE798" s="23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</row>
    <row r="799" spans="1:84" s="2" customFormat="1" x14ac:dyDescent="0.2">
      <c r="A799" s="17" t="s">
        <v>3921</v>
      </c>
      <c r="B799" s="17" t="s">
        <v>45</v>
      </c>
      <c r="C799" s="17">
        <v>2025</v>
      </c>
      <c r="D799" s="17" t="str">
        <f t="array" ref="D799">_xlfn.SWITCH(E799,"Jatikalen","35.18.20","Kertosono", "35.18.08","Lengkong","35.18.19","Loceret","35.18.04","Tanjunganom","35.18.11","Wilangan","35.18.15")</f>
        <v>35.18.11</v>
      </c>
      <c r="E799" s="16" t="s">
        <v>60</v>
      </c>
      <c r="F799" s="33" t="s">
        <v>1801</v>
      </c>
      <c r="G799" s="33" t="s">
        <v>1749</v>
      </c>
      <c r="H799" s="16" t="s">
        <v>31</v>
      </c>
      <c r="I799" s="16">
        <v>3</v>
      </c>
      <c r="J799" s="16">
        <v>0</v>
      </c>
      <c r="K799" s="16">
        <f t="shared" si="14"/>
        <v>3</v>
      </c>
      <c r="L799" s="38">
        <v>2500000</v>
      </c>
      <c r="M799" s="17" t="s">
        <v>2037</v>
      </c>
      <c r="N799" s="67">
        <f>30*12*4</f>
        <v>1440</v>
      </c>
      <c r="O799" s="16" t="s">
        <v>49</v>
      </c>
      <c r="P799" s="30">
        <v>28800000</v>
      </c>
      <c r="Q799" s="33" t="s">
        <v>1913</v>
      </c>
      <c r="R799" s="38">
        <f>12*12*4</f>
        <v>576</v>
      </c>
      <c r="S799" s="16" t="s">
        <v>422</v>
      </c>
      <c r="T799" s="30">
        <v>9792000</v>
      </c>
      <c r="U799" s="16" t="s">
        <v>22</v>
      </c>
      <c r="V799" s="20" t="s">
        <v>1578</v>
      </c>
      <c r="W799" s="16"/>
      <c r="X799" s="16"/>
      <c r="Y799" s="16">
        <v>40</v>
      </c>
      <c r="Z799" s="16">
        <v>40</v>
      </c>
      <c r="AA799" s="16">
        <v>20</v>
      </c>
      <c r="AB799" s="16">
        <v>0</v>
      </c>
      <c r="AC799" s="16"/>
      <c r="AD799" s="68"/>
      <c r="AE799" s="23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</row>
    <row r="800" spans="1:84" s="2" customFormat="1" x14ac:dyDescent="0.2">
      <c r="A800" s="17" t="s">
        <v>3921</v>
      </c>
      <c r="B800" s="17" t="s">
        <v>45</v>
      </c>
      <c r="C800" s="17">
        <v>2025</v>
      </c>
      <c r="D800" s="17" t="str">
        <f t="array" ref="D800">_xlfn.SWITCH(E800,"Jatikalen","35.18.20","Kertosono", "35.18.08","Lengkong","35.18.19","Loceret","35.18.04","Tanjunganom","35.18.11","Wilangan","35.18.15")</f>
        <v>35.18.11</v>
      </c>
      <c r="E800" s="16" t="s">
        <v>60</v>
      </c>
      <c r="F800" s="33" t="s">
        <v>1801</v>
      </c>
      <c r="G800" s="33" t="s">
        <v>2042</v>
      </c>
      <c r="H800" s="16" t="s">
        <v>31</v>
      </c>
      <c r="I800" s="16">
        <v>3</v>
      </c>
      <c r="J800" s="16">
        <v>0</v>
      </c>
      <c r="K800" s="16">
        <f t="shared" si="14"/>
        <v>3</v>
      </c>
      <c r="L800" s="38">
        <v>2000000</v>
      </c>
      <c r="M800" s="17" t="s">
        <v>2037</v>
      </c>
      <c r="N800" s="67">
        <f>35*12*4</f>
        <v>1680</v>
      </c>
      <c r="O800" s="16" t="s">
        <v>49</v>
      </c>
      <c r="P800" s="30">
        <v>18480000</v>
      </c>
      <c r="Q800" s="33" t="s">
        <v>1913</v>
      </c>
      <c r="R800" s="38">
        <f>13*12*4</f>
        <v>624</v>
      </c>
      <c r="S800" s="16" t="s">
        <v>422</v>
      </c>
      <c r="T800" s="30">
        <v>10608000</v>
      </c>
      <c r="U800" s="16" t="s">
        <v>22</v>
      </c>
      <c r="V800" s="20" t="s">
        <v>1578</v>
      </c>
      <c r="W800" s="16"/>
      <c r="X800" s="16"/>
      <c r="Y800" s="16">
        <v>60</v>
      </c>
      <c r="Z800" s="16">
        <v>40</v>
      </c>
      <c r="AA800" s="16">
        <v>0</v>
      </c>
      <c r="AB800" s="16">
        <v>0</v>
      </c>
      <c r="AC800" s="16"/>
      <c r="AD800" s="68"/>
      <c r="AE800" s="23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</row>
    <row r="801" spans="1:84" s="2" customFormat="1" x14ac:dyDescent="0.2">
      <c r="A801" s="17" t="s">
        <v>3921</v>
      </c>
      <c r="B801" s="17" t="s">
        <v>45</v>
      </c>
      <c r="C801" s="17">
        <v>2025</v>
      </c>
      <c r="D801" s="17" t="str">
        <f t="array" ref="D801">_xlfn.SWITCH(E801,"Jatikalen","35.18.20","Kertosono", "35.18.08","Lengkong","35.18.19","Loceret","35.18.04","Tanjunganom","35.18.11","Wilangan","35.18.15")</f>
        <v>35.18.11</v>
      </c>
      <c r="E801" s="16" t="s">
        <v>60</v>
      </c>
      <c r="F801" s="33" t="s">
        <v>1801</v>
      </c>
      <c r="G801" s="33" t="s">
        <v>2043</v>
      </c>
      <c r="H801" s="16" t="s">
        <v>31</v>
      </c>
      <c r="I801" s="16">
        <v>3</v>
      </c>
      <c r="J801" s="16">
        <v>0</v>
      </c>
      <c r="K801" s="16">
        <f t="shared" si="14"/>
        <v>3</v>
      </c>
      <c r="L801" s="38">
        <v>3500000</v>
      </c>
      <c r="M801" s="17" t="s">
        <v>2037</v>
      </c>
      <c r="N801" s="67">
        <f>30*12*4</f>
        <v>1440</v>
      </c>
      <c r="O801" s="16" t="s">
        <v>49</v>
      </c>
      <c r="P801" s="30">
        <v>28800000</v>
      </c>
      <c r="Q801" s="33" t="s">
        <v>1913</v>
      </c>
      <c r="R801" s="38">
        <f>9*12*4</f>
        <v>432</v>
      </c>
      <c r="S801" s="16" t="s">
        <v>422</v>
      </c>
      <c r="T801" s="30">
        <v>7344000</v>
      </c>
      <c r="U801" s="16" t="s">
        <v>22</v>
      </c>
      <c r="V801" s="20" t="s">
        <v>1578</v>
      </c>
      <c r="W801" s="16"/>
      <c r="X801" s="16"/>
      <c r="Y801" s="16">
        <v>40</v>
      </c>
      <c r="Z801" s="16">
        <v>30</v>
      </c>
      <c r="AA801" s="16">
        <v>30</v>
      </c>
      <c r="AB801" s="16">
        <v>0</v>
      </c>
      <c r="AC801" s="16"/>
      <c r="AD801" s="68"/>
      <c r="AE801" s="23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</row>
    <row r="802" spans="1:84" s="2" customFormat="1" x14ac:dyDescent="0.2">
      <c r="A802" s="17" t="s">
        <v>3921</v>
      </c>
      <c r="B802" s="17" t="s">
        <v>45</v>
      </c>
      <c r="C802" s="17">
        <v>2025</v>
      </c>
      <c r="D802" s="17" t="str">
        <f t="array" ref="D802">_xlfn.SWITCH(E802,"Jatikalen","35.18.20","Kertosono", "35.18.08","Lengkong","35.18.19","Loceret","35.18.04","Tanjunganom","35.18.11","Wilangan","35.18.15")</f>
        <v>35.18.11</v>
      </c>
      <c r="E802" s="16" t="s">
        <v>60</v>
      </c>
      <c r="F802" s="33" t="s">
        <v>1801</v>
      </c>
      <c r="G802" s="33" t="s">
        <v>2044</v>
      </c>
      <c r="H802" s="16" t="s">
        <v>31</v>
      </c>
      <c r="I802" s="16">
        <v>3</v>
      </c>
      <c r="J802" s="16">
        <v>0</v>
      </c>
      <c r="K802" s="16">
        <f t="shared" si="14"/>
        <v>3</v>
      </c>
      <c r="L802" s="38">
        <v>2000000</v>
      </c>
      <c r="M802" s="17" t="s">
        <v>2037</v>
      </c>
      <c r="N802" s="67">
        <f>30*12*4</f>
        <v>1440</v>
      </c>
      <c r="O802" s="16" t="s">
        <v>49</v>
      </c>
      <c r="P802" s="30">
        <v>21600000</v>
      </c>
      <c r="Q802" s="33" t="s">
        <v>1913</v>
      </c>
      <c r="R802" s="38">
        <f>15*12*4</f>
        <v>720</v>
      </c>
      <c r="S802" s="16" t="s">
        <v>422</v>
      </c>
      <c r="T802" s="30">
        <v>12240000</v>
      </c>
      <c r="U802" s="16" t="s">
        <v>22</v>
      </c>
      <c r="V802" s="20" t="s">
        <v>1578</v>
      </c>
      <c r="W802" s="16"/>
      <c r="X802" s="16"/>
      <c r="Y802" s="16">
        <v>65</v>
      </c>
      <c r="Z802" s="16">
        <v>35</v>
      </c>
      <c r="AA802" s="16">
        <v>0</v>
      </c>
      <c r="AB802" s="16">
        <v>0</v>
      </c>
      <c r="AC802" s="16"/>
      <c r="AD802" s="68"/>
      <c r="AE802" s="23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</row>
    <row r="803" spans="1:84" s="2" customFormat="1" x14ac:dyDescent="0.2">
      <c r="A803" s="17" t="s">
        <v>3921</v>
      </c>
      <c r="B803" s="17" t="s">
        <v>45</v>
      </c>
      <c r="C803" s="17">
        <v>2025</v>
      </c>
      <c r="D803" s="17" t="str">
        <f t="array" ref="D803">_xlfn.SWITCH(E803,"Jatikalen","35.18.20","Kertosono", "35.18.08","Lengkong","35.18.19","Loceret","35.18.04","Tanjunganom","35.18.11","Wilangan","35.18.15")</f>
        <v>35.18.11</v>
      </c>
      <c r="E803" s="16" t="s">
        <v>60</v>
      </c>
      <c r="F803" s="33" t="s">
        <v>1801</v>
      </c>
      <c r="G803" s="33" t="s">
        <v>2045</v>
      </c>
      <c r="H803" s="16" t="s">
        <v>31</v>
      </c>
      <c r="I803" s="16">
        <v>3</v>
      </c>
      <c r="J803" s="16">
        <v>0</v>
      </c>
      <c r="K803" s="16">
        <f t="shared" si="14"/>
        <v>3</v>
      </c>
      <c r="L803" s="38">
        <v>8000000</v>
      </c>
      <c r="M803" s="17" t="s">
        <v>2037</v>
      </c>
      <c r="N803" s="67">
        <f>36*12*4</f>
        <v>1728</v>
      </c>
      <c r="O803" s="16" t="s">
        <v>49</v>
      </c>
      <c r="P803" s="30">
        <v>25920000</v>
      </c>
      <c r="Q803" s="33" t="s">
        <v>1913</v>
      </c>
      <c r="R803" s="38">
        <f>12*12*4</f>
        <v>576</v>
      </c>
      <c r="S803" s="16" t="s">
        <v>422</v>
      </c>
      <c r="T803" s="30">
        <v>9792000</v>
      </c>
      <c r="U803" s="16" t="s">
        <v>22</v>
      </c>
      <c r="V803" s="20" t="s">
        <v>1578</v>
      </c>
      <c r="W803" s="16"/>
      <c r="X803" s="16"/>
      <c r="Y803" s="16">
        <v>100</v>
      </c>
      <c r="Z803" s="16">
        <v>0</v>
      </c>
      <c r="AA803" s="16">
        <v>0</v>
      </c>
      <c r="AB803" s="16">
        <v>0</v>
      </c>
      <c r="AC803" s="16"/>
      <c r="AD803" s="68"/>
      <c r="AE803" s="23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</row>
    <row r="804" spans="1:84" s="2" customFormat="1" x14ac:dyDescent="0.2">
      <c r="A804" s="17" t="s">
        <v>3921</v>
      </c>
      <c r="B804" s="17" t="s">
        <v>45</v>
      </c>
      <c r="C804" s="17">
        <v>2025</v>
      </c>
      <c r="D804" s="17" t="str">
        <f t="array" ref="D804">_xlfn.SWITCH(E804,"Jatikalen","35.18.20","Kertosono", "35.18.08","Lengkong","35.18.19","Loceret","35.18.04","Tanjunganom","35.18.11","Wilangan","35.18.15")</f>
        <v>35.18.11</v>
      </c>
      <c r="E804" s="16" t="s">
        <v>60</v>
      </c>
      <c r="F804" s="33" t="s">
        <v>1801</v>
      </c>
      <c r="G804" s="33" t="s">
        <v>1828</v>
      </c>
      <c r="H804" s="16" t="s">
        <v>31</v>
      </c>
      <c r="I804" s="16">
        <v>2</v>
      </c>
      <c r="J804" s="16">
        <v>0</v>
      </c>
      <c r="K804" s="16">
        <f t="shared" si="14"/>
        <v>2</v>
      </c>
      <c r="L804" s="38">
        <v>3000000</v>
      </c>
      <c r="M804" s="17" t="s">
        <v>2037</v>
      </c>
      <c r="N804" s="67">
        <f>30*12*4</f>
        <v>1440</v>
      </c>
      <c r="O804" s="16" t="s">
        <v>49</v>
      </c>
      <c r="P804" s="30">
        <v>15840000</v>
      </c>
      <c r="Q804" s="33" t="s">
        <v>1913</v>
      </c>
      <c r="R804" s="38">
        <f>8*12*4</f>
        <v>384</v>
      </c>
      <c r="S804" s="16" t="s">
        <v>422</v>
      </c>
      <c r="T804" s="30">
        <v>6528000</v>
      </c>
      <c r="U804" s="16" t="s">
        <v>22</v>
      </c>
      <c r="V804" s="20" t="s">
        <v>1578</v>
      </c>
      <c r="W804" s="16"/>
      <c r="X804" s="16"/>
      <c r="Y804" s="16">
        <v>100</v>
      </c>
      <c r="Z804" s="16">
        <v>0</v>
      </c>
      <c r="AA804" s="16">
        <v>0</v>
      </c>
      <c r="AB804" s="16">
        <v>0</v>
      </c>
      <c r="AC804" s="16"/>
      <c r="AD804" s="68"/>
      <c r="AE804" s="23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</row>
    <row r="805" spans="1:84" s="2" customFormat="1" x14ac:dyDescent="0.2">
      <c r="A805" s="17" t="s">
        <v>3921</v>
      </c>
      <c r="B805" s="17" t="s">
        <v>45</v>
      </c>
      <c r="C805" s="17">
        <v>2025</v>
      </c>
      <c r="D805" s="17" t="str">
        <f t="array" ref="D805">_xlfn.SWITCH(E805,"Jatikalen","35.18.20","Kertosono", "35.18.08","Lengkong","35.18.19","Loceret","35.18.04","Tanjunganom","35.18.11","Wilangan","35.18.15")</f>
        <v>35.18.11</v>
      </c>
      <c r="E805" s="16" t="s">
        <v>60</v>
      </c>
      <c r="F805" s="33" t="s">
        <v>1801</v>
      </c>
      <c r="G805" s="33" t="s">
        <v>2046</v>
      </c>
      <c r="H805" s="16" t="s">
        <v>31</v>
      </c>
      <c r="I805" s="16">
        <v>2</v>
      </c>
      <c r="J805" s="16">
        <v>0</v>
      </c>
      <c r="K805" s="16">
        <f t="shared" si="14"/>
        <v>2</v>
      </c>
      <c r="L805" s="38">
        <v>5000000</v>
      </c>
      <c r="M805" s="17" t="s">
        <v>2037</v>
      </c>
      <c r="N805" s="67">
        <f>30*12*4</f>
        <v>1440</v>
      </c>
      <c r="O805" s="16" t="s">
        <v>49</v>
      </c>
      <c r="P805" s="30">
        <v>28800000</v>
      </c>
      <c r="Q805" s="33" t="s">
        <v>1913</v>
      </c>
      <c r="R805" s="38">
        <f>8*12*4</f>
        <v>384</v>
      </c>
      <c r="S805" s="16" t="s">
        <v>422</v>
      </c>
      <c r="T805" s="30">
        <v>6528000</v>
      </c>
      <c r="U805" s="16" t="s">
        <v>22</v>
      </c>
      <c r="V805" s="20" t="s">
        <v>1578</v>
      </c>
      <c r="W805" s="16"/>
      <c r="X805" s="16"/>
      <c r="Y805" s="16">
        <v>100</v>
      </c>
      <c r="Z805" s="16">
        <v>0</v>
      </c>
      <c r="AA805" s="16">
        <v>0</v>
      </c>
      <c r="AB805" s="16">
        <v>0</v>
      </c>
      <c r="AC805" s="16"/>
      <c r="AD805" s="68"/>
      <c r="AE805" s="23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</row>
    <row r="806" spans="1:84" s="2" customFormat="1" x14ac:dyDescent="0.2">
      <c r="A806" s="17" t="s">
        <v>3921</v>
      </c>
      <c r="B806" s="17" t="s">
        <v>45</v>
      </c>
      <c r="C806" s="17">
        <v>2025</v>
      </c>
      <c r="D806" s="17" t="str">
        <f t="array" ref="D806">_xlfn.SWITCH(E806,"Jatikalen","35.18.20","Kertosono", "35.18.08","Lengkong","35.18.19","Loceret","35.18.04","Tanjunganom","35.18.11","Wilangan","35.18.15")</f>
        <v>35.18.11</v>
      </c>
      <c r="E806" s="16" t="s">
        <v>60</v>
      </c>
      <c r="F806" s="33" t="s">
        <v>1801</v>
      </c>
      <c r="G806" s="33" t="s">
        <v>2047</v>
      </c>
      <c r="H806" s="16" t="s">
        <v>31</v>
      </c>
      <c r="I806" s="16">
        <v>4</v>
      </c>
      <c r="J806" s="16">
        <v>0</v>
      </c>
      <c r="K806" s="16">
        <f t="shared" si="14"/>
        <v>4</v>
      </c>
      <c r="L806" s="38">
        <v>3000000</v>
      </c>
      <c r="M806" s="17" t="s">
        <v>2037</v>
      </c>
      <c r="N806" s="67">
        <f>36*12*4</f>
        <v>1728</v>
      </c>
      <c r="O806" s="16" t="s">
        <v>49</v>
      </c>
      <c r="P806" s="30">
        <v>29376000</v>
      </c>
      <c r="Q806" s="33" t="s">
        <v>1913</v>
      </c>
      <c r="R806" s="38">
        <f>8*12*4</f>
        <v>384</v>
      </c>
      <c r="S806" s="16" t="s">
        <v>422</v>
      </c>
      <c r="T806" s="30">
        <v>6720000</v>
      </c>
      <c r="U806" s="16" t="s">
        <v>22</v>
      </c>
      <c r="V806" s="20" t="s">
        <v>1578</v>
      </c>
      <c r="W806" s="16"/>
      <c r="X806" s="16"/>
      <c r="Y806" s="16">
        <v>65</v>
      </c>
      <c r="Z806" s="16">
        <v>35</v>
      </c>
      <c r="AA806" s="16">
        <v>0</v>
      </c>
      <c r="AB806" s="16">
        <v>0</v>
      </c>
      <c r="AC806" s="16"/>
      <c r="AD806" s="68"/>
      <c r="AE806" s="23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</row>
    <row r="807" spans="1:84" s="2" customFormat="1" x14ac:dyDescent="0.2">
      <c r="A807" s="17" t="s">
        <v>3921</v>
      </c>
      <c r="B807" s="17" t="s">
        <v>45</v>
      </c>
      <c r="C807" s="17">
        <v>2025</v>
      </c>
      <c r="D807" s="17" t="str">
        <f t="array" ref="D807">_xlfn.SWITCH(E807,"Jatikalen","35.18.20","Kertosono", "35.18.08","Lengkong","35.18.19","Loceret","35.18.04","Tanjunganom","35.18.11","Wilangan","35.18.15")</f>
        <v>35.18.11</v>
      </c>
      <c r="E807" s="16" t="s">
        <v>60</v>
      </c>
      <c r="F807" s="33" t="s">
        <v>1801</v>
      </c>
      <c r="G807" s="33" t="s">
        <v>2048</v>
      </c>
      <c r="H807" s="16" t="s">
        <v>31</v>
      </c>
      <c r="I807" s="16">
        <v>2</v>
      </c>
      <c r="J807" s="16">
        <v>0</v>
      </c>
      <c r="K807" s="16">
        <f t="shared" si="14"/>
        <v>2</v>
      </c>
      <c r="L807" s="38">
        <v>10000000</v>
      </c>
      <c r="M807" s="17" t="s">
        <v>2037</v>
      </c>
      <c r="N807" s="67">
        <f>30*12*4</f>
        <v>1440</v>
      </c>
      <c r="O807" s="16" t="s">
        <v>49</v>
      </c>
      <c r="P807" s="30">
        <v>28800000</v>
      </c>
      <c r="Q807" s="33" t="s">
        <v>1913</v>
      </c>
      <c r="R807" s="38">
        <f>15*12*4</f>
        <v>720</v>
      </c>
      <c r="S807" s="16" t="s">
        <v>422</v>
      </c>
      <c r="T807" s="30">
        <v>12240000</v>
      </c>
      <c r="U807" s="16" t="s">
        <v>22</v>
      </c>
      <c r="V807" s="20" t="s">
        <v>1578</v>
      </c>
      <c r="W807" s="16"/>
      <c r="X807" s="16"/>
      <c r="Y807" s="16">
        <v>70</v>
      </c>
      <c r="Z807" s="16">
        <v>30</v>
      </c>
      <c r="AA807" s="16">
        <v>0</v>
      </c>
      <c r="AB807" s="16">
        <v>0</v>
      </c>
      <c r="AC807" s="16"/>
      <c r="AD807" s="68"/>
      <c r="AE807" s="23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</row>
    <row r="808" spans="1:84" s="2" customFormat="1" x14ac:dyDescent="0.2">
      <c r="A808" s="17" t="s">
        <v>3921</v>
      </c>
      <c r="B808" s="17" t="s">
        <v>45</v>
      </c>
      <c r="C808" s="17">
        <v>2025</v>
      </c>
      <c r="D808" s="17" t="str">
        <f t="array" ref="D808">_xlfn.SWITCH(E808,"Jatikalen","35.18.20","Kertosono", "35.18.08","Lengkong","35.18.19","Loceret","35.18.04","Tanjunganom","35.18.11","Wilangan","35.18.15")</f>
        <v>35.18.11</v>
      </c>
      <c r="E808" s="16" t="s">
        <v>60</v>
      </c>
      <c r="F808" s="33" t="s">
        <v>1801</v>
      </c>
      <c r="G808" s="33" t="s">
        <v>2049</v>
      </c>
      <c r="H808" s="16" t="s">
        <v>31</v>
      </c>
      <c r="I808" s="16">
        <v>2</v>
      </c>
      <c r="J808" s="16">
        <v>0</v>
      </c>
      <c r="K808" s="16">
        <f t="shared" si="14"/>
        <v>2</v>
      </c>
      <c r="L808" s="38">
        <v>2500000</v>
      </c>
      <c r="M808" s="17" t="s">
        <v>2037</v>
      </c>
      <c r="N808" s="67">
        <f>23*12*4</f>
        <v>1104</v>
      </c>
      <c r="O808" s="16" t="s">
        <v>49</v>
      </c>
      <c r="P808" s="30">
        <v>16560000</v>
      </c>
      <c r="Q808" s="33" t="s">
        <v>1913</v>
      </c>
      <c r="R808" s="38">
        <f>13*12*4</f>
        <v>624</v>
      </c>
      <c r="S808" s="16" t="s">
        <v>422</v>
      </c>
      <c r="T808" s="30">
        <v>10608000</v>
      </c>
      <c r="U808" s="16" t="s">
        <v>22</v>
      </c>
      <c r="V808" s="20" t="s">
        <v>1578</v>
      </c>
      <c r="W808" s="16"/>
      <c r="X808" s="16"/>
      <c r="Y808" s="16">
        <v>75</v>
      </c>
      <c r="Z808" s="16">
        <v>25</v>
      </c>
      <c r="AA808" s="16">
        <v>0</v>
      </c>
      <c r="AB808" s="16">
        <v>0</v>
      </c>
      <c r="AC808" s="16"/>
      <c r="AD808" s="68"/>
      <c r="AE808" s="23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</row>
    <row r="809" spans="1:84" s="2" customFormat="1" x14ac:dyDescent="0.2">
      <c r="A809" s="17" t="s">
        <v>3921</v>
      </c>
      <c r="B809" s="17" t="s">
        <v>45</v>
      </c>
      <c r="C809" s="17">
        <v>2025</v>
      </c>
      <c r="D809" s="17" t="str">
        <f t="array" ref="D809">_xlfn.SWITCH(E809,"Jatikalen","35.18.20","Kertosono", "35.18.08","Lengkong","35.18.19","Loceret","35.18.04","Tanjunganom","35.18.11","Wilangan","35.18.15")</f>
        <v>35.18.08</v>
      </c>
      <c r="E809" s="16" t="s">
        <v>128</v>
      </c>
      <c r="F809" s="33" t="s">
        <v>2050</v>
      </c>
      <c r="G809" s="33" t="s">
        <v>2051</v>
      </c>
      <c r="H809" s="16" t="s">
        <v>31</v>
      </c>
      <c r="I809" s="16">
        <v>10</v>
      </c>
      <c r="J809" s="16">
        <v>4</v>
      </c>
      <c r="K809" s="16">
        <f t="shared" si="14"/>
        <v>14</v>
      </c>
      <c r="L809" s="38">
        <v>35000000</v>
      </c>
      <c r="M809" s="17" t="s">
        <v>2052</v>
      </c>
      <c r="N809" s="67">
        <v>14500</v>
      </c>
      <c r="O809" s="16" t="s">
        <v>422</v>
      </c>
      <c r="P809" s="30">
        <v>87000000</v>
      </c>
      <c r="Q809" s="33" t="s">
        <v>1620</v>
      </c>
      <c r="R809" s="38">
        <v>10800</v>
      </c>
      <c r="S809" s="16" t="s">
        <v>422</v>
      </c>
      <c r="T809" s="30">
        <v>43200000</v>
      </c>
      <c r="U809" s="16" t="s">
        <v>22</v>
      </c>
      <c r="V809" s="20"/>
      <c r="W809" s="16"/>
      <c r="X809" s="16"/>
      <c r="Y809" s="16">
        <v>70</v>
      </c>
      <c r="Z809" s="16">
        <v>30</v>
      </c>
      <c r="AA809" s="16">
        <v>0</v>
      </c>
      <c r="AB809" s="16">
        <v>0</v>
      </c>
      <c r="AC809" s="16"/>
      <c r="AD809" s="68"/>
      <c r="AE809" s="23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</row>
    <row r="810" spans="1:84" s="2" customFormat="1" x14ac:dyDescent="0.2">
      <c r="A810" s="17" t="s">
        <v>3921</v>
      </c>
      <c r="B810" s="17" t="s">
        <v>45</v>
      </c>
      <c r="C810" s="17">
        <v>2025</v>
      </c>
      <c r="D810" s="17" t="str">
        <f t="array" ref="D810">_xlfn.SWITCH(E810,"Jatikalen","35.18.20","Kertosono", "35.18.08","Lengkong","35.18.19","Loceret","35.18.04","Tanjunganom","35.18.11","Wilangan","35.18.15")</f>
        <v>35.18.08</v>
      </c>
      <c r="E810" s="16" t="s">
        <v>128</v>
      </c>
      <c r="F810" s="33" t="s">
        <v>1145</v>
      </c>
      <c r="G810" s="33" t="s">
        <v>2053</v>
      </c>
      <c r="H810" s="16" t="s">
        <v>31</v>
      </c>
      <c r="I810" s="16">
        <v>9</v>
      </c>
      <c r="J810" s="16">
        <v>4</v>
      </c>
      <c r="K810" s="16">
        <f t="shared" si="14"/>
        <v>13</v>
      </c>
      <c r="L810" s="38">
        <v>130000000</v>
      </c>
      <c r="M810" s="17" t="s">
        <v>2054</v>
      </c>
      <c r="N810" s="67">
        <v>40600</v>
      </c>
      <c r="O810" s="16" t="s">
        <v>422</v>
      </c>
      <c r="P810" s="30">
        <v>203000000</v>
      </c>
      <c r="Q810" s="33" t="s">
        <v>1620</v>
      </c>
      <c r="R810" s="38">
        <v>27650</v>
      </c>
      <c r="S810" s="16" t="s">
        <v>422</v>
      </c>
      <c r="T810" s="30">
        <v>110600000</v>
      </c>
      <c r="U810" s="16" t="s">
        <v>22</v>
      </c>
      <c r="V810" s="20"/>
      <c r="W810" s="16"/>
      <c r="X810" s="16"/>
      <c r="Y810" s="16">
        <v>60</v>
      </c>
      <c r="Z810" s="16">
        <v>40</v>
      </c>
      <c r="AA810" s="16">
        <v>0</v>
      </c>
      <c r="AB810" s="16">
        <v>0</v>
      </c>
      <c r="AC810" s="16"/>
      <c r="AD810" s="68"/>
      <c r="AE810" s="23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</row>
    <row r="811" spans="1:84" s="2" customFormat="1" x14ac:dyDescent="0.2">
      <c r="A811" s="17" t="s">
        <v>3921</v>
      </c>
      <c r="B811" s="17" t="s">
        <v>45</v>
      </c>
      <c r="C811" s="17">
        <v>2025</v>
      </c>
      <c r="D811" s="17" t="str">
        <f t="array" ref="D811">_xlfn.SWITCH(E811,"Bagor","35.18.14","Sukomoro",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1" s="16" t="s">
        <v>103</v>
      </c>
      <c r="F811" s="33" t="s">
        <v>2055</v>
      </c>
      <c r="G811" s="33" t="s">
        <v>1848</v>
      </c>
      <c r="H811" s="16" t="s">
        <v>31</v>
      </c>
      <c r="I811" s="16">
        <v>11</v>
      </c>
      <c r="J811" s="16">
        <v>5</v>
      </c>
      <c r="K811" s="16">
        <f t="shared" si="14"/>
        <v>16</v>
      </c>
      <c r="L811" s="38">
        <v>21000000</v>
      </c>
      <c r="M811" s="17" t="s">
        <v>2054</v>
      </c>
      <c r="N811" s="67">
        <v>8100</v>
      </c>
      <c r="O811" s="16" t="s">
        <v>422</v>
      </c>
      <c r="P811" s="30">
        <v>40500000</v>
      </c>
      <c r="Q811" s="33" t="s">
        <v>1620</v>
      </c>
      <c r="R811" s="38">
        <v>5040</v>
      </c>
      <c r="S811" s="16" t="s">
        <v>422</v>
      </c>
      <c r="T811" s="30">
        <v>20160000</v>
      </c>
      <c r="U811" s="16" t="s">
        <v>22</v>
      </c>
      <c r="V811" s="20"/>
      <c r="W811" s="16"/>
      <c r="X811" s="16"/>
      <c r="Y811" s="16">
        <v>65</v>
      </c>
      <c r="Z811" s="16">
        <v>35</v>
      </c>
      <c r="AA811" s="16">
        <v>0</v>
      </c>
      <c r="AB811" s="16">
        <v>0</v>
      </c>
      <c r="AC811" s="16"/>
      <c r="AD811" s="68"/>
      <c r="AE811" s="23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</row>
    <row r="812" spans="1:84" s="2" customFormat="1" ht="20" x14ac:dyDescent="0.2">
      <c r="A812" s="17" t="s">
        <v>3921</v>
      </c>
      <c r="B812" s="17" t="s">
        <v>45</v>
      </c>
      <c r="C812" s="17">
        <v>2025</v>
      </c>
      <c r="D812" s="17" t="str">
        <f t="array" ref="D812">_xlfn.SWITCH(E812,"Bagor","35.18.14","Sukomoro",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12" s="16" t="s">
        <v>29</v>
      </c>
      <c r="F812" s="33" t="s">
        <v>2056</v>
      </c>
      <c r="G812" s="33" t="s">
        <v>2057</v>
      </c>
      <c r="H812" s="16" t="s">
        <v>31</v>
      </c>
      <c r="I812" s="16">
        <v>8</v>
      </c>
      <c r="J812" s="16">
        <v>3</v>
      </c>
      <c r="K812" s="16">
        <f t="shared" si="14"/>
        <v>11</v>
      </c>
      <c r="L812" s="38">
        <v>20000000</v>
      </c>
      <c r="M812" s="17" t="s">
        <v>2058</v>
      </c>
      <c r="N812" s="67">
        <v>11700</v>
      </c>
      <c r="O812" s="16" t="s">
        <v>49</v>
      </c>
      <c r="P812" s="30">
        <v>58500000</v>
      </c>
      <c r="Q812" s="33" t="s">
        <v>1620</v>
      </c>
      <c r="R812" s="38">
        <v>6810</v>
      </c>
      <c r="S812" s="16" t="s">
        <v>422</v>
      </c>
      <c r="T812" s="30">
        <v>27240000</v>
      </c>
      <c r="U812" s="16" t="s">
        <v>22</v>
      </c>
      <c r="V812" s="20"/>
      <c r="W812" s="16"/>
      <c r="X812" s="16"/>
      <c r="Y812" s="16">
        <v>70</v>
      </c>
      <c r="Z812" s="16">
        <v>30</v>
      </c>
      <c r="AA812" s="16">
        <v>0</v>
      </c>
      <c r="AB812" s="16">
        <v>0</v>
      </c>
      <c r="AC812" s="16"/>
      <c r="AD812" s="68"/>
      <c r="AE812" s="23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</row>
    <row r="813" spans="1:84" s="2" customFormat="1" x14ac:dyDescent="0.2">
      <c r="A813" s="17" t="s">
        <v>3921</v>
      </c>
      <c r="B813" s="17" t="s">
        <v>45</v>
      </c>
      <c r="C813" s="17">
        <v>2025</v>
      </c>
      <c r="D813" s="17" t="str">
        <f t="array" ref="D813">_xlfn.SWITCH(E813,"Jatikalen","35.18.20","Kertosono", "35.18.08","Lengkong","35.18.19","Loceret","35.18.04","Tanjunganom","35.18.11","Wilangan","35.18.15")</f>
        <v>35.18.04</v>
      </c>
      <c r="E813" s="16" t="s">
        <v>41</v>
      </c>
      <c r="F813" s="33" t="s">
        <v>1570</v>
      </c>
      <c r="G813" s="33" t="s">
        <v>2023</v>
      </c>
      <c r="H813" s="16" t="s">
        <v>31</v>
      </c>
      <c r="I813" s="16">
        <v>7</v>
      </c>
      <c r="J813" s="16">
        <v>2</v>
      </c>
      <c r="K813" s="16">
        <f t="shared" si="14"/>
        <v>9</v>
      </c>
      <c r="L813" s="38">
        <v>11000000</v>
      </c>
      <c r="M813" s="17" t="s">
        <v>2052</v>
      </c>
      <c r="N813" s="67">
        <v>5300</v>
      </c>
      <c r="O813" s="16" t="s">
        <v>422</v>
      </c>
      <c r="P813" s="30">
        <v>31800000</v>
      </c>
      <c r="Q813" s="33" t="s">
        <v>1620</v>
      </c>
      <c r="R813" s="38">
        <v>2500</v>
      </c>
      <c r="S813" s="16" t="s">
        <v>422</v>
      </c>
      <c r="T813" s="30">
        <v>10000000</v>
      </c>
      <c r="U813" s="16" t="s">
        <v>22</v>
      </c>
      <c r="V813" s="20"/>
      <c r="W813" s="16"/>
      <c r="X813" s="16"/>
      <c r="Y813" s="16">
        <v>80</v>
      </c>
      <c r="Z813" s="16">
        <v>20</v>
      </c>
      <c r="AA813" s="16">
        <v>0</v>
      </c>
      <c r="AB813" s="16">
        <v>0</v>
      </c>
      <c r="AC813" s="16"/>
      <c r="AD813" s="68"/>
      <c r="AE813" s="23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</row>
    <row r="814" spans="1:84" s="2" customFormat="1" x14ac:dyDescent="0.2">
      <c r="A814" s="17" t="s">
        <v>3921</v>
      </c>
      <c r="B814" s="17" t="s">
        <v>45</v>
      </c>
      <c r="C814" s="17">
        <v>2025</v>
      </c>
      <c r="D814" s="17" t="str">
        <f t="array" ref="D814">_xlfn.SWITCH(E814,"Jatikalen","35.18.20","Kertosono", "35.18.08","Lengkong","35.18.19","Loceret","35.18.04","Tanjunganom","35.18.11","Wilangan","35.18.15")</f>
        <v>35.18.04</v>
      </c>
      <c r="E814" s="16" t="s">
        <v>41</v>
      </c>
      <c r="F814" s="33" t="s">
        <v>2059</v>
      </c>
      <c r="G814" s="33" t="s">
        <v>2060</v>
      </c>
      <c r="H814" s="16" t="s">
        <v>31</v>
      </c>
      <c r="I814" s="16">
        <v>9</v>
      </c>
      <c r="J814" s="16">
        <v>2</v>
      </c>
      <c r="K814" s="16">
        <f t="shared" si="14"/>
        <v>11</v>
      </c>
      <c r="L814" s="38">
        <v>17000000</v>
      </c>
      <c r="M814" s="17" t="s">
        <v>2061</v>
      </c>
      <c r="N814" s="67">
        <v>9200</v>
      </c>
      <c r="O814" s="16" t="s">
        <v>49</v>
      </c>
      <c r="P814" s="30">
        <v>46000000</v>
      </c>
      <c r="Q814" s="33" t="s">
        <v>2062</v>
      </c>
      <c r="R814" s="38">
        <v>4500</v>
      </c>
      <c r="S814" s="16" t="s">
        <v>422</v>
      </c>
      <c r="T814" s="30">
        <v>18000000</v>
      </c>
      <c r="U814" s="16" t="s">
        <v>22</v>
      </c>
      <c r="V814" s="20"/>
      <c r="W814" s="16"/>
      <c r="X814" s="16"/>
      <c r="Y814" s="16">
        <v>75</v>
      </c>
      <c r="Z814" s="16">
        <v>25</v>
      </c>
      <c r="AA814" s="16">
        <v>0</v>
      </c>
      <c r="AB814" s="16">
        <v>0</v>
      </c>
      <c r="AC814" s="16"/>
      <c r="AD814" s="68"/>
      <c r="AE814" s="23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</row>
    <row r="815" spans="1:84" s="2" customFormat="1" x14ac:dyDescent="0.2">
      <c r="A815" s="17" t="s">
        <v>3921</v>
      </c>
      <c r="B815" s="17" t="s">
        <v>45</v>
      </c>
      <c r="C815" s="17">
        <v>2025</v>
      </c>
      <c r="D815" s="17" t="str">
        <f t="array" ref="D815">_xlfn.SWITCH(E815,"Bagor","35.18.14","Sukomoro",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5" s="16" t="s">
        <v>103</v>
      </c>
      <c r="F815" s="33" t="s">
        <v>2009</v>
      </c>
      <c r="G815" s="33" t="s">
        <v>2063</v>
      </c>
      <c r="H815" s="16" t="s">
        <v>31</v>
      </c>
      <c r="I815" s="16">
        <v>0</v>
      </c>
      <c r="J815" s="16">
        <v>1</v>
      </c>
      <c r="K815" s="16">
        <f t="shared" si="14"/>
        <v>1</v>
      </c>
      <c r="L815" s="38">
        <v>2000000</v>
      </c>
      <c r="M815" s="17" t="s">
        <v>2011</v>
      </c>
      <c r="N815" s="67">
        <f>100*26*12</f>
        <v>31200</v>
      </c>
      <c r="O815" s="16" t="s">
        <v>49</v>
      </c>
      <c r="P815" s="30">
        <v>28080000</v>
      </c>
      <c r="Q815" s="33" t="s">
        <v>286</v>
      </c>
      <c r="R815" s="38">
        <f>3*12</f>
        <v>36</v>
      </c>
      <c r="S815" s="16" t="s">
        <v>2012</v>
      </c>
      <c r="T815" s="30">
        <v>7200000</v>
      </c>
      <c r="U815" s="16" t="s">
        <v>22</v>
      </c>
      <c r="V815" s="20"/>
      <c r="W815" s="16"/>
      <c r="X815" s="16"/>
      <c r="Y815" s="16">
        <v>80</v>
      </c>
      <c r="Z815" s="16">
        <v>20</v>
      </c>
      <c r="AA815" s="16">
        <v>0</v>
      </c>
      <c r="AB815" s="16">
        <v>0</v>
      </c>
      <c r="AC815" s="16"/>
      <c r="AD815" s="68"/>
      <c r="AE815" s="23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</row>
    <row r="816" spans="1:84" s="2" customFormat="1" x14ac:dyDescent="0.2">
      <c r="A816" s="17" t="s">
        <v>3921</v>
      </c>
      <c r="B816" s="17" t="s">
        <v>45</v>
      </c>
      <c r="C816" s="17">
        <v>2025</v>
      </c>
      <c r="D816" s="17" t="str">
        <f t="array" ref="D816">_xlfn.SWITCH(E816,"Bagor","35.18.14","Sukomoro",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6" s="16" t="s">
        <v>103</v>
      </c>
      <c r="F816" s="33" t="s">
        <v>2009</v>
      </c>
      <c r="G816" s="33" t="s">
        <v>2064</v>
      </c>
      <c r="H816" s="16" t="s">
        <v>31</v>
      </c>
      <c r="I816" s="16">
        <v>0</v>
      </c>
      <c r="J816" s="16">
        <v>1</v>
      </c>
      <c r="K816" s="16">
        <f t="shared" si="14"/>
        <v>1</v>
      </c>
      <c r="L816" s="38">
        <v>1000000</v>
      </c>
      <c r="M816" s="17" t="s">
        <v>2011</v>
      </c>
      <c r="N816" s="67">
        <f>50*26*12</f>
        <v>15600</v>
      </c>
      <c r="O816" s="16" t="s">
        <v>49</v>
      </c>
      <c r="P816" s="30">
        <v>9360000</v>
      </c>
      <c r="Q816" s="33" t="s">
        <v>286</v>
      </c>
      <c r="R816" s="38">
        <f>200*12</f>
        <v>2400</v>
      </c>
      <c r="S816" s="16" t="s">
        <v>2012</v>
      </c>
      <c r="T816" s="30">
        <v>6000000</v>
      </c>
      <c r="U816" s="16" t="s">
        <v>22</v>
      </c>
      <c r="V816" s="20"/>
      <c r="W816" s="16"/>
      <c r="X816" s="16"/>
      <c r="Y816" s="16">
        <v>50</v>
      </c>
      <c r="Z816" s="16">
        <v>50</v>
      </c>
      <c r="AA816" s="16">
        <v>0</v>
      </c>
      <c r="AB816" s="16">
        <v>0</v>
      </c>
      <c r="AC816" s="16"/>
      <c r="AD816" s="68"/>
      <c r="AE816" s="23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</row>
    <row r="817" spans="1:84" s="2" customFormat="1" x14ac:dyDescent="0.2">
      <c r="A817" s="17" t="s">
        <v>3921</v>
      </c>
      <c r="B817" s="17" t="s">
        <v>45</v>
      </c>
      <c r="C817" s="17">
        <v>2025</v>
      </c>
      <c r="D817" s="17" t="str">
        <f t="array" ref="D817">_xlfn.SWITCH(E817,"Bagor","35.18.14","Sukomoro",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7" s="16" t="s">
        <v>103</v>
      </c>
      <c r="F817" s="33" t="s">
        <v>2009</v>
      </c>
      <c r="G817" s="33" t="s">
        <v>2065</v>
      </c>
      <c r="H817" s="16" t="s">
        <v>31</v>
      </c>
      <c r="I817" s="16">
        <v>1</v>
      </c>
      <c r="J817" s="16">
        <v>1</v>
      </c>
      <c r="K817" s="16">
        <f t="shared" si="14"/>
        <v>2</v>
      </c>
      <c r="L817" s="38">
        <v>2000000</v>
      </c>
      <c r="M817" s="17" t="s">
        <v>2011</v>
      </c>
      <c r="N817" s="67">
        <v>15600</v>
      </c>
      <c r="O817" s="16" t="s">
        <v>49</v>
      </c>
      <c r="P817" s="30">
        <v>9360000</v>
      </c>
      <c r="Q817" s="33" t="s">
        <v>286</v>
      </c>
      <c r="R817" s="38">
        <f>2*12</f>
        <v>24</v>
      </c>
      <c r="S817" s="16" t="s">
        <v>2012</v>
      </c>
      <c r="T817" s="30">
        <v>4800000</v>
      </c>
      <c r="U817" s="16" t="s">
        <v>22</v>
      </c>
      <c r="V817" s="20"/>
      <c r="W817" s="16"/>
      <c r="X817" s="16"/>
      <c r="Y817" s="16">
        <v>35</v>
      </c>
      <c r="Z817" s="16">
        <v>30</v>
      </c>
      <c r="AA817" s="16">
        <v>35</v>
      </c>
      <c r="AB817" s="16">
        <v>0</v>
      </c>
      <c r="AC817" s="16"/>
      <c r="AD817" s="68"/>
      <c r="AE817" s="23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</row>
    <row r="818" spans="1:84" s="2" customFormat="1" x14ac:dyDescent="0.2">
      <c r="A818" s="17" t="s">
        <v>3921</v>
      </c>
      <c r="B818" s="17" t="s">
        <v>45</v>
      </c>
      <c r="C818" s="17">
        <v>2025</v>
      </c>
      <c r="D818" s="17" t="str">
        <f t="array" ref="D818">_xlfn.SWITCH(E818,"Bagor","35.18.14","Sukomoro",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8" s="16" t="s">
        <v>103</v>
      </c>
      <c r="F818" s="33" t="s">
        <v>2009</v>
      </c>
      <c r="G818" s="33" t="s">
        <v>2066</v>
      </c>
      <c r="H818" s="16" t="s">
        <v>31</v>
      </c>
      <c r="I818" s="16">
        <v>0</v>
      </c>
      <c r="J818" s="16">
        <v>1</v>
      </c>
      <c r="K818" s="16">
        <f t="shared" si="14"/>
        <v>1</v>
      </c>
      <c r="L818" s="38">
        <v>3000000</v>
      </c>
      <c r="M818" s="17" t="s">
        <v>2011</v>
      </c>
      <c r="N818" s="67">
        <f>60*26*12</f>
        <v>18720</v>
      </c>
      <c r="O818" s="16" t="s">
        <v>49</v>
      </c>
      <c r="P818" s="30">
        <v>11220000</v>
      </c>
      <c r="Q818" s="33" t="s">
        <v>286</v>
      </c>
      <c r="R818" s="38">
        <f>2*12</f>
        <v>24</v>
      </c>
      <c r="S818" s="16" t="s">
        <v>2012</v>
      </c>
      <c r="T818" s="30">
        <v>7200000</v>
      </c>
      <c r="U818" s="16" t="s">
        <v>22</v>
      </c>
      <c r="V818" s="20"/>
      <c r="W818" s="16"/>
      <c r="X818" s="16"/>
      <c r="Y818" s="16">
        <v>80</v>
      </c>
      <c r="Z818" s="16">
        <v>20</v>
      </c>
      <c r="AA818" s="16">
        <v>0</v>
      </c>
      <c r="AB818" s="16">
        <v>0</v>
      </c>
      <c r="AC818" s="16"/>
      <c r="AD818" s="68"/>
      <c r="AE818" s="23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</row>
    <row r="819" spans="1:84" s="2" customFormat="1" x14ac:dyDescent="0.2">
      <c r="A819" s="17" t="s">
        <v>3921</v>
      </c>
      <c r="B819" s="17" t="s">
        <v>45</v>
      </c>
      <c r="C819" s="17">
        <v>2025</v>
      </c>
      <c r="D819" s="17" t="str">
        <f t="array" ref="D819">_xlfn.SWITCH(E819,"Bagor","35.18.14","Sukomoro",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9" s="16" t="s">
        <v>103</v>
      </c>
      <c r="F819" s="33" t="s">
        <v>2009</v>
      </c>
      <c r="G819" s="33" t="s">
        <v>2067</v>
      </c>
      <c r="H819" s="16" t="s">
        <v>31</v>
      </c>
      <c r="I819" s="16">
        <v>0</v>
      </c>
      <c r="J819" s="16">
        <v>2</v>
      </c>
      <c r="K819" s="16">
        <f t="shared" si="14"/>
        <v>2</v>
      </c>
      <c r="L819" s="38">
        <v>1000000</v>
      </c>
      <c r="M819" s="17" t="s">
        <v>2011</v>
      </c>
      <c r="N819" s="67">
        <f>30*26*12</f>
        <v>9360</v>
      </c>
      <c r="O819" s="16" t="s">
        <v>49</v>
      </c>
      <c r="P819" s="30">
        <v>5640000</v>
      </c>
      <c r="Q819" s="33" t="s">
        <v>286</v>
      </c>
      <c r="R819" s="38">
        <f>50*12</f>
        <v>600</v>
      </c>
      <c r="S819" s="16" t="s">
        <v>2012</v>
      </c>
      <c r="T819" s="30">
        <v>2400000</v>
      </c>
      <c r="U819" s="16" t="s">
        <v>22</v>
      </c>
      <c r="V819" s="20"/>
      <c r="W819" s="16"/>
      <c r="X819" s="16"/>
      <c r="Y819" s="16">
        <v>75</v>
      </c>
      <c r="Z819" s="16">
        <v>25</v>
      </c>
      <c r="AA819" s="16">
        <v>0</v>
      </c>
      <c r="AB819" s="16">
        <v>0</v>
      </c>
      <c r="AC819" s="16"/>
      <c r="AD819" s="68"/>
      <c r="AE819" s="23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</row>
    <row r="820" spans="1:84" s="2" customFormat="1" x14ac:dyDescent="0.2">
      <c r="A820" s="17" t="s">
        <v>3921</v>
      </c>
      <c r="B820" s="17" t="s">
        <v>45</v>
      </c>
      <c r="C820" s="17">
        <v>2025</v>
      </c>
      <c r="D820" s="17" t="str">
        <f t="array" ref="D820">_xlfn.SWITCH(E820,"Bagor","35.18.14","Sukomoro",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0" s="16" t="s">
        <v>103</v>
      </c>
      <c r="F820" s="33" t="s">
        <v>2009</v>
      </c>
      <c r="G820" s="33" t="s">
        <v>2068</v>
      </c>
      <c r="H820" s="16" t="s">
        <v>31</v>
      </c>
      <c r="I820" s="16">
        <v>1</v>
      </c>
      <c r="J820" s="16">
        <v>1</v>
      </c>
      <c r="K820" s="16">
        <f t="shared" si="14"/>
        <v>2</v>
      </c>
      <c r="L820" s="38">
        <v>6000000</v>
      </c>
      <c r="M820" s="17" t="s">
        <v>2011</v>
      </c>
      <c r="N820" s="67">
        <f>85*26*12</f>
        <v>26520</v>
      </c>
      <c r="O820" s="16" t="s">
        <v>49</v>
      </c>
      <c r="P820" s="30">
        <v>15900000</v>
      </c>
      <c r="Q820" s="33" t="s">
        <v>286</v>
      </c>
      <c r="R820" s="38">
        <f>2*6*100</f>
        <v>1200</v>
      </c>
      <c r="S820" s="16" t="s">
        <v>2012</v>
      </c>
      <c r="T820" s="30">
        <v>6000000</v>
      </c>
      <c r="U820" s="16" t="s">
        <v>22</v>
      </c>
      <c r="V820" s="20" t="s">
        <v>57</v>
      </c>
      <c r="W820" s="16"/>
      <c r="X820" s="16"/>
      <c r="Y820" s="16">
        <v>70</v>
      </c>
      <c r="Z820" s="16">
        <v>30</v>
      </c>
      <c r="AA820" s="16">
        <v>0</v>
      </c>
      <c r="AB820" s="16">
        <v>0</v>
      </c>
      <c r="AC820" s="16"/>
      <c r="AD820" s="68"/>
      <c r="AE820" s="23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</row>
    <row r="821" spans="1:84" s="2" customFormat="1" x14ac:dyDescent="0.2">
      <c r="A821" s="17" t="s">
        <v>3921</v>
      </c>
      <c r="B821" s="17" t="s">
        <v>45</v>
      </c>
      <c r="C821" s="17">
        <v>2025</v>
      </c>
      <c r="D821" s="17" t="str">
        <f t="array" ref="D821">_xlfn.SWITCH(E821,"Bagor","35.18.14","Sukomoro",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1" s="16" t="s">
        <v>103</v>
      </c>
      <c r="F821" s="33" t="s">
        <v>2009</v>
      </c>
      <c r="G821" s="33" t="s">
        <v>2069</v>
      </c>
      <c r="H821" s="16" t="s">
        <v>31</v>
      </c>
      <c r="I821" s="16">
        <v>1</v>
      </c>
      <c r="J821" s="16">
        <v>1</v>
      </c>
      <c r="K821" s="16">
        <f t="shared" si="14"/>
        <v>2</v>
      </c>
      <c r="L821" s="38">
        <v>3000000</v>
      </c>
      <c r="M821" s="17" t="s">
        <v>2011</v>
      </c>
      <c r="N821" s="67">
        <f>500*26*12</f>
        <v>156000</v>
      </c>
      <c r="O821" s="16" t="s">
        <v>49</v>
      </c>
      <c r="P821" s="30">
        <v>23400000</v>
      </c>
      <c r="Q821" s="33" t="s">
        <v>286</v>
      </c>
      <c r="R821" s="38">
        <v>60</v>
      </c>
      <c r="S821" s="16" t="s">
        <v>2012</v>
      </c>
      <c r="T821" s="30">
        <v>9000000</v>
      </c>
      <c r="U821" s="16" t="s">
        <v>22</v>
      </c>
      <c r="V821" s="20" t="s">
        <v>57</v>
      </c>
      <c r="W821" s="16"/>
      <c r="X821" s="16"/>
      <c r="Y821" s="16">
        <v>90</v>
      </c>
      <c r="Z821" s="16">
        <v>10</v>
      </c>
      <c r="AA821" s="16">
        <v>0</v>
      </c>
      <c r="AB821" s="16">
        <v>0</v>
      </c>
      <c r="AC821" s="16"/>
      <c r="AD821" s="68"/>
      <c r="AE821" s="23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</row>
    <row r="822" spans="1:84" s="2" customFormat="1" x14ac:dyDescent="0.2">
      <c r="A822" s="17" t="s">
        <v>3921</v>
      </c>
      <c r="B822" s="17" t="s">
        <v>45</v>
      </c>
      <c r="C822" s="17">
        <v>2025</v>
      </c>
      <c r="D822" s="17" t="str">
        <f t="array" ref="D822">_xlfn.SWITCH(E822,"Bagor","35.18.14","Sukomoro",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2" s="16" t="s">
        <v>103</v>
      </c>
      <c r="F822" s="33" t="s">
        <v>2009</v>
      </c>
      <c r="G822" s="33" t="s">
        <v>2070</v>
      </c>
      <c r="H822" s="16" t="s">
        <v>31</v>
      </c>
      <c r="I822" s="16">
        <v>1</v>
      </c>
      <c r="J822" s="16">
        <v>1</v>
      </c>
      <c r="K822" s="16">
        <f t="shared" si="14"/>
        <v>2</v>
      </c>
      <c r="L822" s="38">
        <v>2000000</v>
      </c>
      <c r="M822" s="17" t="s">
        <v>2011</v>
      </c>
      <c r="N822" s="67">
        <f>500*26*12</f>
        <v>156000</v>
      </c>
      <c r="O822" s="16" t="s">
        <v>49</v>
      </c>
      <c r="P822" s="30">
        <v>23400000</v>
      </c>
      <c r="Q822" s="33" t="s">
        <v>286</v>
      </c>
      <c r="R822" s="38">
        <v>2500</v>
      </c>
      <c r="S822" s="16" t="s">
        <v>2012</v>
      </c>
      <c r="T822" s="30">
        <v>11250000</v>
      </c>
      <c r="U822" s="16" t="s">
        <v>22</v>
      </c>
      <c r="V822" s="20" t="s">
        <v>57</v>
      </c>
      <c r="W822" s="16"/>
      <c r="X822" s="16"/>
      <c r="Y822" s="16">
        <v>80</v>
      </c>
      <c r="Z822" s="16">
        <v>20</v>
      </c>
      <c r="AA822" s="16">
        <v>0</v>
      </c>
      <c r="AB822" s="16">
        <v>0</v>
      </c>
      <c r="AC822" s="16"/>
      <c r="AD822" s="68"/>
      <c r="AE822" s="23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</row>
    <row r="823" spans="1:84" s="2" customFormat="1" x14ac:dyDescent="0.2">
      <c r="A823" s="17" t="s">
        <v>3921</v>
      </c>
      <c r="B823" s="17" t="s">
        <v>45</v>
      </c>
      <c r="C823" s="17">
        <v>2025</v>
      </c>
      <c r="D823" s="17" t="str">
        <f t="array" ref="D823">_xlfn.SWITCH(E823,"Bagor","35.18.14","Sukomoro",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3" s="16" t="s">
        <v>103</v>
      </c>
      <c r="F823" s="33" t="s">
        <v>2009</v>
      </c>
      <c r="G823" s="33" t="s">
        <v>2071</v>
      </c>
      <c r="H823" s="16" t="s">
        <v>31</v>
      </c>
      <c r="I823" s="16">
        <v>1</v>
      </c>
      <c r="J823" s="16">
        <v>1</v>
      </c>
      <c r="K823" s="16">
        <f t="shared" si="14"/>
        <v>2</v>
      </c>
      <c r="L823" s="38">
        <v>5000000</v>
      </c>
      <c r="M823" s="17" t="s">
        <v>2011</v>
      </c>
      <c r="N823" s="67">
        <f>100*26*12</f>
        <v>31200</v>
      </c>
      <c r="O823" s="16" t="s">
        <v>49</v>
      </c>
      <c r="P823" s="30">
        <v>24960000</v>
      </c>
      <c r="Q823" s="33" t="s">
        <v>286</v>
      </c>
      <c r="R823" s="38">
        <v>70</v>
      </c>
      <c r="S823" s="16" t="s">
        <v>2012</v>
      </c>
      <c r="T823" s="30">
        <v>14000000</v>
      </c>
      <c r="U823" s="16" t="s">
        <v>22</v>
      </c>
      <c r="V823" s="20"/>
      <c r="W823" s="16"/>
      <c r="X823" s="16"/>
      <c r="Y823" s="16">
        <v>80</v>
      </c>
      <c r="Z823" s="16">
        <v>20</v>
      </c>
      <c r="AA823" s="16">
        <v>0</v>
      </c>
      <c r="AB823" s="16">
        <v>0</v>
      </c>
      <c r="AC823" s="16"/>
      <c r="AD823" s="68"/>
      <c r="AE823" s="23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</row>
    <row r="824" spans="1:84" s="2" customFormat="1" x14ac:dyDescent="0.2">
      <c r="A824" s="17" t="s">
        <v>3921</v>
      </c>
      <c r="B824" s="17" t="s">
        <v>45</v>
      </c>
      <c r="C824" s="17">
        <v>2025</v>
      </c>
      <c r="D824" s="17" t="str">
        <f t="array" ref="D824">_xlfn.SWITCH(E824,"Bagor","35.18.14","Sukomoro",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4" s="16" t="s">
        <v>103</v>
      </c>
      <c r="F824" s="33" t="s">
        <v>2009</v>
      </c>
      <c r="G824" s="33" t="s">
        <v>2072</v>
      </c>
      <c r="H824" s="16" t="s">
        <v>31</v>
      </c>
      <c r="I824" s="16">
        <v>1</v>
      </c>
      <c r="J824" s="16">
        <v>1</v>
      </c>
      <c r="K824" s="16">
        <f t="shared" si="14"/>
        <v>2</v>
      </c>
      <c r="L824" s="38">
        <v>3100000</v>
      </c>
      <c r="M824" s="17" t="s">
        <v>2011</v>
      </c>
      <c r="N824" s="67">
        <f>500*12</f>
        <v>6000</v>
      </c>
      <c r="O824" s="16" t="s">
        <v>49</v>
      </c>
      <c r="P824" s="30">
        <v>7200000</v>
      </c>
      <c r="Q824" s="33" t="s">
        <v>286</v>
      </c>
      <c r="R824" s="38">
        <f>500*12</f>
        <v>6000</v>
      </c>
      <c r="S824" s="16" t="s">
        <v>2012</v>
      </c>
      <c r="T824" s="30">
        <v>3000000</v>
      </c>
      <c r="U824" s="16" t="s">
        <v>22</v>
      </c>
      <c r="V824" s="20"/>
      <c r="W824" s="16"/>
      <c r="X824" s="16"/>
      <c r="Y824" s="16">
        <v>80</v>
      </c>
      <c r="Z824" s="16">
        <v>20</v>
      </c>
      <c r="AA824" s="16">
        <v>0</v>
      </c>
      <c r="AB824" s="16">
        <v>0</v>
      </c>
      <c r="AC824" s="16"/>
      <c r="AD824" s="68"/>
      <c r="AE824" s="23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</row>
    <row r="825" spans="1:84" s="2" customFormat="1" x14ac:dyDescent="0.2">
      <c r="A825" s="17" t="s">
        <v>3921</v>
      </c>
      <c r="B825" s="17" t="s">
        <v>45</v>
      </c>
      <c r="C825" s="17">
        <v>2025</v>
      </c>
      <c r="D825" s="17" t="str">
        <f t="array" ref="D825">_xlfn.SWITCH(E825,"Bagor","35.18.14","Sukomoro",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5" s="16" t="s">
        <v>103</v>
      </c>
      <c r="F825" s="33" t="s">
        <v>2009</v>
      </c>
      <c r="G825" s="33" t="s">
        <v>2073</v>
      </c>
      <c r="H825" s="16" t="s">
        <v>31</v>
      </c>
      <c r="I825" s="16">
        <v>1</v>
      </c>
      <c r="J825" s="16">
        <v>0</v>
      </c>
      <c r="K825" s="16">
        <f t="shared" si="14"/>
        <v>1</v>
      </c>
      <c r="L825" s="38">
        <v>2000000</v>
      </c>
      <c r="M825" s="17" t="s">
        <v>2011</v>
      </c>
      <c r="N825" s="67">
        <f>50*26*12</f>
        <v>15600</v>
      </c>
      <c r="O825" s="16" t="s">
        <v>49</v>
      </c>
      <c r="P825" s="30">
        <v>3120000</v>
      </c>
      <c r="Q825" s="33" t="s">
        <v>286</v>
      </c>
      <c r="R825" s="38">
        <v>10</v>
      </c>
      <c r="S825" s="16" t="s">
        <v>2012</v>
      </c>
      <c r="T825" s="30">
        <v>2000000</v>
      </c>
      <c r="U825" s="16" t="s">
        <v>22</v>
      </c>
      <c r="V825" s="20"/>
      <c r="W825" s="16"/>
      <c r="X825" s="16"/>
      <c r="Y825" s="16">
        <v>80</v>
      </c>
      <c r="Z825" s="16">
        <v>20</v>
      </c>
      <c r="AA825" s="16">
        <v>0</v>
      </c>
      <c r="AB825" s="16">
        <v>0</v>
      </c>
      <c r="AC825" s="16"/>
      <c r="AD825" s="68"/>
      <c r="AE825" s="23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</row>
    <row r="826" spans="1:84" s="2" customFormat="1" x14ac:dyDescent="0.2">
      <c r="A826" s="17" t="s">
        <v>3921</v>
      </c>
      <c r="B826" s="17" t="s">
        <v>45</v>
      </c>
      <c r="C826" s="17">
        <v>2025</v>
      </c>
      <c r="D826" s="17" t="str">
        <f t="array" ref="D826">_xlfn.SWITCH(E826,"Bagor","35.18.14","Sukomoro",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6" s="16" t="s">
        <v>103</v>
      </c>
      <c r="F826" s="33" t="s">
        <v>2009</v>
      </c>
      <c r="G826" s="33" t="s">
        <v>2074</v>
      </c>
      <c r="H826" s="16" t="s">
        <v>31</v>
      </c>
      <c r="I826" s="16">
        <v>0</v>
      </c>
      <c r="J826" s="16">
        <v>1</v>
      </c>
      <c r="K826" s="16">
        <f t="shared" si="14"/>
        <v>1</v>
      </c>
      <c r="L826" s="38">
        <v>5000000</v>
      </c>
      <c r="M826" s="17" t="s">
        <v>2011</v>
      </c>
      <c r="N826" s="67">
        <f>40*26*12</f>
        <v>12480</v>
      </c>
      <c r="O826" s="16" t="s">
        <v>49</v>
      </c>
      <c r="P826" s="30">
        <v>7500000</v>
      </c>
      <c r="Q826" s="33" t="s">
        <v>286</v>
      </c>
      <c r="R826" s="38">
        <f>2*12</f>
        <v>24</v>
      </c>
      <c r="S826" s="16" t="s">
        <v>2012</v>
      </c>
      <c r="T826" s="30">
        <v>4800000</v>
      </c>
      <c r="U826" s="16" t="s">
        <v>22</v>
      </c>
      <c r="V826" s="20"/>
      <c r="W826" s="16"/>
      <c r="X826" s="16"/>
      <c r="Y826" s="16">
        <v>50</v>
      </c>
      <c r="Z826" s="16">
        <v>30</v>
      </c>
      <c r="AA826" s="16">
        <v>20</v>
      </c>
      <c r="AB826" s="16">
        <v>0</v>
      </c>
      <c r="AC826" s="16"/>
      <c r="AD826" s="68"/>
      <c r="AE826" s="23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</row>
    <row r="827" spans="1:84" s="2" customFormat="1" x14ac:dyDescent="0.2">
      <c r="A827" s="17" t="s">
        <v>3921</v>
      </c>
      <c r="B827" s="17" t="s">
        <v>45</v>
      </c>
      <c r="C827" s="17">
        <v>2025</v>
      </c>
      <c r="D827" s="17" t="str">
        <f t="array" ref="D827">_xlfn.SWITCH(E827,"Bagor","35.18.14","Sukomoro",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27" s="16" t="s">
        <v>29</v>
      </c>
      <c r="F827" s="33" t="s">
        <v>2075</v>
      </c>
      <c r="G827" s="33" t="s">
        <v>1758</v>
      </c>
      <c r="H827" s="16" t="s">
        <v>47</v>
      </c>
      <c r="I827" s="16">
        <v>7</v>
      </c>
      <c r="J827" s="16">
        <v>0</v>
      </c>
      <c r="K827" s="16">
        <f t="shared" si="14"/>
        <v>7</v>
      </c>
      <c r="L827" s="38">
        <v>75750000</v>
      </c>
      <c r="M827" s="17" t="s">
        <v>72</v>
      </c>
      <c r="N827" s="67">
        <v>48</v>
      </c>
      <c r="O827" s="16" t="s">
        <v>69</v>
      </c>
      <c r="P827" s="30">
        <v>144000000</v>
      </c>
      <c r="Q827" s="33" t="s">
        <v>1680</v>
      </c>
      <c r="R827" s="38">
        <v>30</v>
      </c>
      <c r="S827" s="16" t="s">
        <v>69</v>
      </c>
      <c r="T827" s="30">
        <v>72000000</v>
      </c>
      <c r="U827" s="16" t="s">
        <v>22</v>
      </c>
      <c r="V827" s="20" t="s">
        <v>1677</v>
      </c>
      <c r="W827" s="16"/>
      <c r="X827" s="16"/>
      <c r="Y827" s="16">
        <v>80</v>
      </c>
      <c r="Z827" s="16">
        <v>20</v>
      </c>
      <c r="AA827" s="16">
        <v>0</v>
      </c>
      <c r="AB827" s="16">
        <v>0</v>
      </c>
      <c r="AC827" s="16"/>
      <c r="AD827" s="68"/>
      <c r="AE827" s="23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</row>
    <row r="828" spans="1:84" s="2" customFormat="1" x14ac:dyDescent="0.2">
      <c r="A828" s="17" t="s">
        <v>3921</v>
      </c>
      <c r="B828" s="17" t="s">
        <v>45</v>
      </c>
      <c r="C828" s="17">
        <v>2025</v>
      </c>
      <c r="D828" s="17" t="str">
        <f t="array" ref="D828">_xlfn.SWITCH(E828,"Bagor","35.18.14","Sukomoro",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28" s="16" t="s">
        <v>29</v>
      </c>
      <c r="F828" s="33" t="s">
        <v>2075</v>
      </c>
      <c r="G828" s="33" t="s">
        <v>2076</v>
      </c>
      <c r="H828" s="16" t="s">
        <v>31</v>
      </c>
      <c r="I828" s="16">
        <v>4</v>
      </c>
      <c r="J828" s="16">
        <v>0</v>
      </c>
      <c r="K828" s="16">
        <f t="shared" si="14"/>
        <v>4</v>
      </c>
      <c r="L828" s="38">
        <v>10000000</v>
      </c>
      <c r="M828" s="17" t="s">
        <v>1518</v>
      </c>
      <c r="N828" s="67">
        <f>2*12</f>
        <v>24</v>
      </c>
      <c r="O828" s="16" t="s">
        <v>69</v>
      </c>
      <c r="P828" s="30">
        <v>36000000</v>
      </c>
      <c r="Q828" s="33" t="s">
        <v>1680</v>
      </c>
      <c r="R828" s="38">
        <v>8</v>
      </c>
      <c r="S828" s="16" t="s">
        <v>69</v>
      </c>
      <c r="T828" s="30">
        <v>16800000</v>
      </c>
      <c r="U828" s="16" t="s">
        <v>22</v>
      </c>
      <c r="V828" s="20"/>
      <c r="W828" s="16"/>
      <c r="X828" s="16"/>
      <c r="Y828" s="16">
        <v>100</v>
      </c>
      <c r="Z828" s="16">
        <v>0</v>
      </c>
      <c r="AA828" s="16">
        <v>0</v>
      </c>
      <c r="AB828" s="16">
        <v>0</v>
      </c>
      <c r="AC828" s="16"/>
      <c r="AD828" s="68"/>
      <c r="AE828" s="23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</row>
    <row r="829" spans="1:84" s="2" customFormat="1" x14ac:dyDescent="0.2">
      <c r="A829" s="17" t="s">
        <v>3921</v>
      </c>
      <c r="B829" s="17" t="s">
        <v>45</v>
      </c>
      <c r="C829" s="17">
        <v>2025</v>
      </c>
      <c r="D829" s="17" t="str">
        <f t="array" ref="D829">_xlfn.SWITCH(E829,"Bagor","35.18.14","Sukomoro",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9" s="16" t="s">
        <v>103</v>
      </c>
      <c r="F829" s="33" t="s">
        <v>2077</v>
      </c>
      <c r="G829" s="33" t="s">
        <v>2078</v>
      </c>
      <c r="H829" s="16" t="s">
        <v>47</v>
      </c>
      <c r="I829" s="16">
        <v>2</v>
      </c>
      <c r="J829" s="16">
        <v>0</v>
      </c>
      <c r="K829" s="16">
        <f t="shared" si="14"/>
        <v>2</v>
      </c>
      <c r="L829" s="38">
        <v>30000000</v>
      </c>
      <c r="M829" s="17" t="s">
        <v>2079</v>
      </c>
      <c r="N829" s="67">
        <v>6</v>
      </c>
      <c r="O829" s="16" t="s">
        <v>1263</v>
      </c>
      <c r="P829" s="30">
        <v>72000000</v>
      </c>
      <c r="Q829" s="33" t="s">
        <v>50</v>
      </c>
      <c r="R829" s="38">
        <v>6</v>
      </c>
      <c r="S829" s="16" t="s">
        <v>69</v>
      </c>
      <c r="T829" s="30">
        <v>36000000</v>
      </c>
      <c r="U829" s="16" t="s">
        <v>22</v>
      </c>
      <c r="V829" s="20" t="s">
        <v>1677</v>
      </c>
      <c r="W829" s="16"/>
      <c r="X829" s="16"/>
      <c r="Y829" s="16">
        <v>100</v>
      </c>
      <c r="Z829" s="16">
        <v>0</v>
      </c>
      <c r="AA829" s="16">
        <v>0</v>
      </c>
      <c r="AB829" s="16">
        <v>0</v>
      </c>
      <c r="AC829" s="16"/>
      <c r="AD829" s="68"/>
      <c r="AE829" s="23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</row>
    <row r="830" spans="1:84" s="2" customFormat="1" ht="20" x14ac:dyDescent="0.2">
      <c r="A830" s="17" t="s">
        <v>3921</v>
      </c>
      <c r="B830" s="17" t="s">
        <v>45</v>
      </c>
      <c r="C830" s="17">
        <v>2025</v>
      </c>
      <c r="D830" s="17" t="str">
        <f t="array" ref="D830">_xlfn.SWITCH(E830,"Bagor","35.18.14","Sukomoro",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0" s="16" t="s">
        <v>29</v>
      </c>
      <c r="F830" s="33" t="s">
        <v>1865</v>
      </c>
      <c r="G830" s="33" t="s">
        <v>2080</v>
      </c>
      <c r="H830" s="16" t="s">
        <v>31</v>
      </c>
      <c r="I830" s="16">
        <v>2</v>
      </c>
      <c r="J830" s="16">
        <v>0</v>
      </c>
      <c r="K830" s="16">
        <f t="shared" si="14"/>
        <v>2</v>
      </c>
      <c r="L830" s="38">
        <v>20000000</v>
      </c>
      <c r="M830" s="17" t="s">
        <v>1518</v>
      </c>
      <c r="N830" s="67">
        <f>6*12</f>
        <v>72</v>
      </c>
      <c r="O830" s="16" t="s">
        <v>69</v>
      </c>
      <c r="P830" s="30">
        <v>72000000</v>
      </c>
      <c r="Q830" s="33" t="s">
        <v>1680</v>
      </c>
      <c r="R830" s="38">
        <v>15</v>
      </c>
      <c r="S830" s="16" t="s">
        <v>69</v>
      </c>
      <c r="T830" s="30">
        <v>30000000</v>
      </c>
      <c r="U830" s="16" t="s">
        <v>22</v>
      </c>
      <c r="V830" s="20"/>
      <c r="W830" s="16"/>
      <c r="X830" s="16"/>
      <c r="Y830" s="16">
        <v>100</v>
      </c>
      <c r="Z830" s="16">
        <v>0</v>
      </c>
      <c r="AA830" s="16">
        <v>0</v>
      </c>
      <c r="AB830" s="16">
        <v>0</v>
      </c>
      <c r="AC830" s="16"/>
      <c r="AD830" s="68"/>
      <c r="AE830" s="23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</row>
    <row r="831" spans="1:84" s="2" customFormat="1" ht="20" x14ac:dyDescent="0.2">
      <c r="A831" s="17" t="s">
        <v>3921</v>
      </c>
      <c r="B831" s="17" t="s">
        <v>45</v>
      </c>
      <c r="C831" s="17">
        <v>2025</v>
      </c>
      <c r="D831" s="17" t="str">
        <f t="array" ref="D831">_xlfn.SWITCH(E831,"Bagor","35.18.14","Sukomoro",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31" s="16" t="s">
        <v>103</v>
      </c>
      <c r="F831" s="33" t="s">
        <v>2081</v>
      </c>
      <c r="G831" s="33" t="s">
        <v>2082</v>
      </c>
      <c r="H831" s="16" t="s">
        <v>47</v>
      </c>
      <c r="I831" s="16">
        <v>5</v>
      </c>
      <c r="J831" s="16">
        <v>0</v>
      </c>
      <c r="K831" s="16">
        <f t="shared" si="14"/>
        <v>5</v>
      </c>
      <c r="L831" s="38">
        <v>50000000</v>
      </c>
      <c r="M831" s="17" t="s">
        <v>1518</v>
      </c>
      <c r="N831" s="67">
        <v>40</v>
      </c>
      <c r="O831" s="16" t="s">
        <v>69</v>
      </c>
      <c r="P831" s="30">
        <v>240000000</v>
      </c>
      <c r="Q831" s="33" t="s">
        <v>1680</v>
      </c>
      <c r="R831" s="38">
        <v>40</v>
      </c>
      <c r="S831" s="16" t="s">
        <v>69</v>
      </c>
      <c r="T831" s="30">
        <v>60000000</v>
      </c>
      <c r="U831" s="16" t="s">
        <v>22</v>
      </c>
      <c r="V831" s="20" t="s">
        <v>1677</v>
      </c>
      <c r="W831" s="16"/>
      <c r="X831" s="16"/>
      <c r="Y831" s="16">
        <v>65</v>
      </c>
      <c r="Z831" s="16">
        <v>35</v>
      </c>
      <c r="AA831" s="16">
        <v>0</v>
      </c>
      <c r="AB831" s="16">
        <v>0</v>
      </c>
      <c r="AC831" s="16"/>
      <c r="AD831" s="68"/>
      <c r="AE831" s="23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</row>
    <row r="832" spans="1:84" s="2" customFormat="1" x14ac:dyDescent="0.2">
      <c r="A832" s="17" t="s">
        <v>3921</v>
      </c>
      <c r="B832" s="17" t="s">
        <v>45</v>
      </c>
      <c r="C832" s="17">
        <v>2025</v>
      </c>
      <c r="D832" s="17" t="str">
        <f t="array" ref="D832">_xlfn.SWITCH(E832,"Bagor","35.18.14","Sukomoro",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2" s="16" t="s">
        <v>29</v>
      </c>
      <c r="F832" s="33" t="s">
        <v>2083</v>
      </c>
      <c r="G832" s="33" t="s">
        <v>2084</v>
      </c>
      <c r="H832" s="16" t="s">
        <v>47</v>
      </c>
      <c r="I832" s="16">
        <v>12</v>
      </c>
      <c r="J832" s="16">
        <v>0</v>
      </c>
      <c r="K832" s="16">
        <f t="shared" si="14"/>
        <v>12</v>
      </c>
      <c r="L832" s="38">
        <v>300000000</v>
      </c>
      <c r="M832" s="17" t="s">
        <v>2085</v>
      </c>
      <c r="N832" s="67">
        <v>4000</v>
      </c>
      <c r="O832" s="16" t="s">
        <v>1738</v>
      </c>
      <c r="P832" s="30">
        <v>1200000000</v>
      </c>
      <c r="Q832" s="33" t="s">
        <v>2086</v>
      </c>
      <c r="R832" s="38">
        <v>2000</v>
      </c>
      <c r="S832" s="16" t="s">
        <v>69</v>
      </c>
      <c r="T832" s="30">
        <v>400000000</v>
      </c>
      <c r="U832" s="16" t="s">
        <v>22</v>
      </c>
      <c r="V832" s="20"/>
      <c r="W832" s="16"/>
      <c r="X832" s="16"/>
      <c r="Y832" s="16">
        <v>70</v>
      </c>
      <c r="Z832" s="16">
        <v>30</v>
      </c>
      <c r="AA832" s="16">
        <v>0</v>
      </c>
      <c r="AB832" s="16">
        <v>0</v>
      </c>
      <c r="AC832" s="16"/>
      <c r="AD832" s="68"/>
      <c r="AE832" s="23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</row>
    <row r="833" spans="1:84" s="2" customFormat="1" x14ac:dyDescent="0.2">
      <c r="A833" s="17" t="s">
        <v>3921</v>
      </c>
      <c r="B833" s="17" t="s">
        <v>45</v>
      </c>
      <c r="C833" s="17">
        <v>2025</v>
      </c>
      <c r="D833" s="17" t="str">
        <f t="array" ref="D833">_xlfn.SWITCH(E833,"Bagor","35.18.14","Sukomoro",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833" s="16" t="s">
        <v>45</v>
      </c>
      <c r="F833" s="33" t="s">
        <v>2087</v>
      </c>
      <c r="G833" s="33" t="s">
        <v>2088</v>
      </c>
      <c r="H833" s="16" t="s">
        <v>81</v>
      </c>
      <c r="I833" s="16">
        <v>0</v>
      </c>
      <c r="J833" s="16">
        <v>2</v>
      </c>
      <c r="K833" s="16">
        <f t="shared" si="14"/>
        <v>2</v>
      </c>
      <c r="L833" s="38">
        <v>80000000</v>
      </c>
      <c r="M833" s="17" t="s">
        <v>971</v>
      </c>
      <c r="N833" s="67">
        <v>11000</v>
      </c>
      <c r="O833" s="16" t="s">
        <v>972</v>
      </c>
      <c r="P833" s="30">
        <v>258500000</v>
      </c>
      <c r="Q833" s="33" t="s">
        <v>2089</v>
      </c>
      <c r="R833" s="73">
        <v>5100</v>
      </c>
      <c r="S833" s="16" t="s">
        <v>972</v>
      </c>
      <c r="T833" s="30">
        <f>R833*10000</f>
        <v>51000000</v>
      </c>
      <c r="U833" s="16" t="s">
        <v>22</v>
      </c>
      <c r="V833" s="20" t="s">
        <v>52</v>
      </c>
      <c r="W833" s="53">
        <v>2100</v>
      </c>
      <c r="X833" s="16" t="s">
        <v>143</v>
      </c>
      <c r="Y833" s="16">
        <v>75</v>
      </c>
      <c r="Z833" s="16">
        <v>25</v>
      </c>
      <c r="AA833" s="16">
        <v>0</v>
      </c>
      <c r="AB833" s="16">
        <v>0</v>
      </c>
      <c r="AC833" s="16"/>
      <c r="AD833" s="68"/>
      <c r="AE833" s="23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</row>
    <row r="834" spans="1:84" s="2" customFormat="1" x14ac:dyDescent="0.2">
      <c r="A834" s="17" t="s">
        <v>3921</v>
      </c>
      <c r="B834" s="17" t="s">
        <v>45</v>
      </c>
      <c r="C834" s="17">
        <v>2025</v>
      </c>
      <c r="D834" s="17" t="str">
        <f t="array" ref="D834">_xlfn.SWITCH(E834,"Bagor","35.18.14","Sukomoro",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4" s="16" t="s">
        <v>29</v>
      </c>
      <c r="F834" s="33" t="s">
        <v>2083</v>
      </c>
      <c r="G834" s="33" t="s">
        <v>2090</v>
      </c>
      <c r="H834" s="16" t="s">
        <v>31</v>
      </c>
      <c r="I834" s="16">
        <v>4</v>
      </c>
      <c r="J834" s="16">
        <v>0</v>
      </c>
      <c r="K834" s="16">
        <f t="shared" ref="K834:K897" si="15">I834+J834</f>
        <v>4</v>
      </c>
      <c r="L834" s="38">
        <v>10000000</v>
      </c>
      <c r="M834" s="17" t="s">
        <v>1518</v>
      </c>
      <c r="N834" s="67">
        <f>7*4*12</f>
        <v>336</v>
      </c>
      <c r="O834" s="16" t="s">
        <v>49</v>
      </c>
      <c r="P834" s="30">
        <v>252000000</v>
      </c>
      <c r="Q834" s="33" t="s">
        <v>1680</v>
      </c>
      <c r="R834" s="38">
        <f>1*4*12</f>
        <v>48</v>
      </c>
      <c r="S834" s="16" t="s">
        <v>69</v>
      </c>
      <c r="T834" s="30">
        <v>96000000</v>
      </c>
      <c r="U834" s="16" t="s">
        <v>22</v>
      </c>
      <c r="V834" s="20"/>
      <c r="W834" s="16"/>
      <c r="X834" s="16"/>
      <c r="Y834" s="16">
        <v>60</v>
      </c>
      <c r="Z834" s="16">
        <v>40</v>
      </c>
      <c r="AA834" s="16">
        <v>0</v>
      </c>
      <c r="AB834" s="16">
        <v>0</v>
      </c>
      <c r="AC834" s="16"/>
      <c r="AD834" s="68"/>
      <c r="AE834" s="23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</row>
    <row r="835" spans="1:84" s="2" customFormat="1" x14ac:dyDescent="0.2">
      <c r="A835" s="17" t="s">
        <v>3921</v>
      </c>
      <c r="B835" s="17" t="s">
        <v>45</v>
      </c>
      <c r="C835" s="17">
        <v>2025</v>
      </c>
      <c r="D835" s="17" t="str">
        <f t="array" ref="D835">_xlfn.SWITCH(E835,"Bagor","35.18.14","Sukomoro",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5" s="16" t="s">
        <v>29</v>
      </c>
      <c r="F835" s="33" t="s">
        <v>2083</v>
      </c>
      <c r="G835" s="33" t="s">
        <v>2091</v>
      </c>
      <c r="H835" s="16" t="s">
        <v>47</v>
      </c>
      <c r="I835" s="16">
        <v>38</v>
      </c>
      <c r="J835" s="16">
        <v>3</v>
      </c>
      <c r="K835" s="16">
        <f t="shared" si="15"/>
        <v>41</v>
      </c>
      <c r="L835" s="38">
        <v>100000000</v>
      </c>
      <c r="M835" s="17" t="s">
        <v>1518</v>
      </c>
      <c r="N835" s="67">
        <v>2500</v>
      </c>
      <c r="O835" s="16" t="s">
        <v>1263</v>
      </c>
      <c r="P835" s="30">
        <v>875000000</v>
      </c>
      <c r="Q835" s="33" t="s">
        <v>1680</v>
      </c>
      <c r="R835" s="38">
        <f>35*12</f>
        <v>420</v>
      </c>
      <c r="S835" s="16" t="s">
        <v>69</v>
      </c>
      <c r="T835" s="30">
        <v>147000000</v>
      </c>
      <c r="U835" s="16" t="s">
        <v>22</v>
      </c>
      <c r="V835" s="20" t="s">
        <v>1677</v>
      </c>
      <c r="W835" s="16"/>
      <c r="X835" s="16"/>
      <c r="Y835" s="16">
        <v>65</v>
      </c>
      <c r="Z835" s="16">
        <v>35</v>
      </c>
      <c r="AA835" s="16">
        <v>0</v>
      </c>
      <c r="AB835" s="16">
        <v>0</v>
      </c>
      <c r="AC835" s="16"/>
      <c r="AD835" s="68"/>
      <c r="AE835" s="23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</row>
    <row r="836" spans="1:84" s="2" customFormat="1" x14ac:dyDescent="0.2">
      <c r="A836" s="17" t="s">
        <v>3921</v>
      </c>
      <c r="B836" s="17" t="s">
        <v>45</v>
      </c>
      <c r="C836" s="17">
        <v>2025</v>
      </c>
      <c r="D836" s="17" t="str">
        <f t="array" ref="D836">_xlfn.SWITCH(E836,"Bagor","35.18.14","Sukomoro",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6" s="16" t="s">
        <v>29</v>
      </c>
      <c r="F836" s="33" t="s">
        <v>1816</v>
      </c>
      <c r="G836" s="33" t="s">
        <v>2092</v>
      </c>
      <c r="H836" s="16" t="s">
        <v>47</v>
      </c>
      <c r="I836" s="16">
        <v>12</v>
      </c>
      <c r="J836" s="16">
        <v>2</v>
      </c>
      <c r="K836" s="16">
        <f t="shared" si="15"/>
        <v>14</v>
      </c>
      <c r="L836" s="38">
        <v>200000000</v>
      </c>
      <c r="M836" s="17" t="s">
        <v>1518</v>
      </c>
      <c r="N836" s="67">
        <f>18*12</f>
        <v>216</v>
      </c>
      <c r="O836" s="16" t="s">
        <v>1263</v>
      </c>
      <c r="P836" s="30">
        <v>540000000</v>
      </c>
      <c r="Q836" s="33" t="s">
        <v>1680</v>
      </c>
      <c r="R836" s="38">
        <f>13*12</f>
        <v>156</v>
      </c>
      <c r="S836" s="16" t="s">
        <v>69</v>
      </c>
      <c r="T836" s="30">
        <v>312000000</v>
      </c>
      <c r="U836" s="16" t="s">
        <v>22</v>
      </c>
      <c r="V836" s="20"/>
      <c r="W836" s="16"/>
      <c r="X836" s="16"/>
      <c r="Y836" s="16">
        <v>65</v>
      </c>
      <c r="Z836" s="16">
        <v>35</v>
      </c>
      <c r="AA836" s="16">
        <v>0</v>
      </c>
      <c r="AB836" s="16">
        <v>0</v>
      </c>
      <c r="AC836" s="16"/>
      <c r="AD836" s="68"/>
      <c r="AE836" s="23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</row>
    <row r="837" spans="1:84" s="2" customFormat="1" x14ac:dyDescent="0.2">
      <c r="A837" s="17" t="s">
        <v>3921</v>
      </c>
      <c r="B837" s="17" t="s">
        <v>45</v>
      </c>
      <c r="C837" s="17">
        <v>2025</v>
      </c>
      <c r="D837" s="17" t="str">
        <f t="array" ref="D837">_xlfn.SWITCH(E837,"Jatikalen","35.18.20","Kertosono", "35.18.08","Lengkong","35.18.19","Loceret","35.18.04","Tanjunganom","35.18.11","Wilangan","35.18.15")</f>
        <v>35.18.04</v>
      </c>
      <c r="E837" s="16" t="s">
        <v>41</v>
      </c>
      <c r="F837" s="33" t="s">
        <v>2059</v>
      </c>
      <c r="G837" s="33" t="s">
        <v>2093</v>
      </c>
      <c r="H837" s="16" t="s">
        <v>47</v>
      </c>
      <c r="I837" s="16">
        <v>6</v>
      </c>
      <c r="J837" s="16">
        <v>0</v>
      </c>
      <c r="K837" s="16">
        <f t="shared" si="15"/>
        <v>6</v>
      </c>
      <c r="L837" s="38">
        <v>45000000</v>
      </c>
      <c r="M837" s="17" t="s">
        <v>1518</v>
      </c>
      <c r="N837" s="67">
        <f>14+8*12</f>
        <v>110</v>
      </c>
      <c r="O837" s="16" t="s">
        <v>1263</v>
      </c>
      <c r="P837" s="30">
        <v>143000000</v>
      </c>
      <c r="Q837" s="33" t="s">
        <v>1680</v>
      </c>
      <c r="R837" s="38">
        <v>28</v>
      </c>
      <c r="S837" s="16" t="s">
        <v>69</v>
      </c>
      <c r="T837" s="30">
        <v>56000000</v>
      </c>
      <c r="U837" s="16" t="s">
        <v>22</v>
      </c>
      <c r="V837" s="20" t="s">
        <v>1677</v>
      </c>
      <c r="W837" s="16"/>
      <c r="X837" s="16"/>
      <c r="Y837" s="16">
        <v>75</v>
      </c>
      <c r="Z837" s="16">
        <v>25</v>
      </c>
      <c r="AA837" s="16">
        <v>0</v>
      </c>
      <c r="AB837" s="16">
        <v>0</v>
      </c>
      <c r="AC837" s="16"/>
      <c r="AD837" s="68"/>
      <c r="AE837" s="23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</row>
    <row r="838" spans="1:84" s="2" customFormat="1" ht="20" x14ac:dyDescent="0.2">
      <c r="A838" s="17" t="s">
        <v>3921</v>
      </c>
      <c r="B838" s="17" t="s">
        <v>45</v>
      </c>
      <c r="C838" s="17">
        <v>2025</v>
      </c>
      <c r="D838" s="17" t="str">
        <f t="array" ref="D838">_xlfn.SWITCH(E838,"Jatikalen","35.18.20","Kertosono", "35.18.08","Lengkong","35.18.19","Loceret","35.18.04","Tanjunganom","35.18.11","Wilangan","35.18.15")</f>
        <v>35.18.08</v>
      </c>
      <c r="E838" s="16" t="s">
        <v>128</v>
      </c>
      <c r="F838" s="33" t="s">
        <v>2094</v>
      </c>
      <c r="G838" s="33" t="s">
        <v>2095</v>
      </c>
      <c r="H838" s="16" t="s">
        <v>31</v>
      </c>
      <c r="I838" s="16">
        <v>2</v>
      </c>
      <c r="J838" s="16">
        <v>1</v>
      </c>
      <c r="K838" s="16">
        <f t="shared" si="15"/>
        <v>3</v>
      </c>
      <c r="L838" s="38">
        <v>10000000</v>
      </c>
      <c r="M838" s="17" t="s">
        <v>172</v>
      </c>
      <c r="N838" s="67">
        <v>14</v>
      </c>
      <c r="O838" s="16" t="s">
        <v>962</v>
      </c>
      <c r="P838" s="30">
        <v>93600000</v>
      </c>
      <c r="Q838" s="33" t="s">
        <v>1642</v>
      </c>
      <c r="R838" s="38">
        <v>6</v>
      </c>
      <c r="S838" s="16" t="s">
        <v>962</v>
      </c>
      <c r="T838" s="30">
        <v>48800000</v>
      </c>
      <c r="U838" s="16" t="s">
        <v>22</v>
      </c>
      <c r="V838" s="20"/>
      <c r="W838" s="16"/>
      <c r="X838" s="16"/>
      <c r="Y838" s="16">
        <v>65</v>
      </c>
      <c r="Z838" s="16">
        <v>35</v>
      </c>
      <c r="AA838" s="16">
        <v>0</v>
      </c>
      <c r="AB838" s="16">
        <v>0</v>
      </c>
      <c r="AC838" s="16"/>
      <c r="AD838" s="68"/>
      <c r="AE838" s="23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</row>
    <row r="839" spans="1:84" s="2" customFormat="1" ht="20" x14ac:dyDescent="0.2">
      <c r="A839" s="17" t="s">
        <v>3921</v>
      </c>
      <c r="B839" s="17" t="s">
        <v>45</v>
      </c>
      <c r="C839" s="17">
        <v>2025</v>
      </c>
      <c r="D839" s="17" t="str">
        <f t="array" ref="D839">_xlfn.SWITCH(E839,"Jatikalen","35.18.20","Kertosono", "35.18.08","Lengkong","35.18.19","Loceret","35.18.04","Tanjunganom","35.18.11","Wilangan","35.18.15")</f>
        <v>35.18.08</v>
      </c>
      <c r="E839" s="16" t="s">
        <v>128</v>
      </c>
      <c r="F839" s="33" t="s">
        <v>2094</v>
      </c>
      <c r="G839" s="33" t="s">
        <v>2096</v>
      </c>
      <c r="H839" s="16" t="s">
        <v>31</v>
      </c>
      <c r="I839" s="16">
        <v>2</v>
      </c>
      <c r="J839" s="16">
        <v>1</v>
      </c>
      <c r="K839" s="16">
        <f t="shared" si="15"/>
        <v>3</v>
      </c>
      <c r="L839" s="38">
        <v>5000000</v>
      </c>
      <c r="M839" s="17" t="s">
        <v>172</v>
      </c>
      <c r="N839" s="67">
        <v>4</v>
      </c>
      <c r="O839" s="16" t="s">
        <v>962</v>
      </c>
      <c r="P839" s="30">
        <v>20592000</v>
      </c>
      <c r="Q839" s="33" t="s">
        <v>1642</v>
      </c>
      <c r="R839" s="38">
        <v>2</v>
      </c>
      <c r="S839" s="16" t="s">
        <v>962</v>
      </c>
      <c r="T839" s="30">
        <v>11700000</v>
      </c>
      <c r="U839" s="16" t="s">
        <v>22</v>
      </c>
      <c r="V839" s="20" t="s">
        <v>50</v>
      </c>
      <c r="W839" s="16"/>
      <c r="X839" s="16"/>
      <c r="Y839" s="16">
        <v>60</v>
      </c>
      <c r="Z839" s="16">
        <v>40</v>
      </c>
      <c r="AA839" s="16">
        <v>0</v>
      </c>
      <c r="AB839" s="16">
        <v>0</v>
      </c>
      <c r="AC839" s="16"/>
      <c r="AD839" s="68"/>
      <c r="AE839" s="23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</row>
    <row r="840" spans="1:84" s="2" customFormat="1" ht="20" x14ac:dyDescent="0.2">
      <c r="A840" s="17" t="s">
        <v>3921</v>
      </c>
      <c r="B840" s="17" t="s">
        <v>45</v>
      </c>
      <c r="C840" s="17">
        <v>2025</v>
      </c>
      <c r="D840" s="17" t="str">
        <f t="array" ref="D840">_xlfn.SWITCH(E840,"Jatikalen","35.18.20","Kertosono", "35.18.08","Lengkong","35.18.19","Loceret","35.18.04","Tanjunganom","35.18.11","Wilangan","35.18.15")</f>
        <v>35.18.08</v>
      </c>
      <c r="E840" s="16" t="s">
        <v>128</v>
      </c>
      <c r="F840" s="33" t="s">
        <v>2094</v>
      </c>
      <c r="G840" s="33" t="s">
        <v>2097</v>
      </c>
      <c r="H840" s="16" t="s">
        <v>31</v>
      </c>
      <c r="I840" s="16">
        <v>1</v>
      </c>
      <c r="J840" s="16">
        <v>1</v>
      </c>
      <c r="K840" s="16">
        <f t="shared" si="15"/>
        <v>2</v>
      </c>
      <c r="L840" s="38">
        <v>5000000</v>
      </c>
      <c r="M840" s="17" t="s">
        <v>172</v>
      </c>
      <c r="N840" s="67">
        <v>2</v>
      </c>
      <c r="O840" s="16" t="s">
        <v>962</v>
      </c>
      <c r="P840" s="30">
        <v>12012000</v>
      </c>
      <c r="Q840" s="33" t="s">
        <v>1642</v>
      </c>
      <c r="R840" s="38">
        <v>1</v>
      </c>
      <c r="S840" s="16" t="s">
        <v>962</v>
      </c>
      <c r="T840" s="30">
        <v>7650000</v>
      </c>
      <c r="U840" s="16" t="s">
        <v>22</v>
      </c>
      <c r="V840" s="20"/>
      <c r="W840" s="16"/>
      <c r="X840" s="16"/>
      <c r="Y840" s="16">
        <v>65</v>
      </c>
      <c r="Z840" s="16">
        <v>35</v>
      </c>
      <c r="AA840" s="16">
        <v>0</v>
      </c>
      <c r="AB840" s="16">
        <v>0</v>
      </c>
      <c r="AC840" s="16"/>
      <c r="AD840" s="68"/>
      <c r="AE840" s="23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</row>
    <row r="841" spans="1:84" s="2" customFormat="1" ht="20" x14ac:dyDescent="0.2">
      <c r="A841" s="17" t="s">
        <v>3921</v>
      </c>
      <c r="B841" s="17" t="s">
        <v>45</v>
      </c>
      <c r="C841" s="17">
        <v>2025</v>
      </c>
      <c r="D841" s="17" t="str">
        <f t="array" ref="D841">_xlfn.SWITCH(E841,"Jatikalen","35.18.20","Kertosono", "35.18.08","Lengkong","35.18.19","Loceret","35.18.04","Tanjunganom","35.18.11","Wilangan","35.18.15")</f>
        <v>35.18.08</v>
      </c>
      <c r="E841" s="16" t="s">
        <v>128</v>
      </c>
      <c r="F841" s="33" t="s">
        <v>2094</v>
      </c>
      <c r="G841" s="33" t="s">
        <v>1645</v>
      </c>
      <c r="H841" s="16" t="s">
        <v>31</v>
      </c>
      <c r="I841" s="16">
        <v>1</v>
      </c>
      <c r="J841" s="16">
        <v>1</v>
      </c>
      <c r="K841" s="16">
        <f t="shared" si="15"/>
        <v>2</v>
      </c>
      <c r="L841" s="38">
        <v>7000000</v>
      </c>
      <c r="M841" s="17" t="s">
        <v>172</v>
      </c>
      <c r="N841" s="67">
        <v>8</v>
      </c>
      <c r="O841" s="16" t="s">
        <v>962</v>
      </c>
      <c r="P841" s="30">
        <v>40560000</v>
      </c>
      <c r="Q841" s="33" t="s">
        <v>1642</v>
      </c>
      <c r="R841" s="38">
        <v>3</v>
      </c>
      <c r="S841" s="16" t="s">
        <v>962</v>
      </c>
      <c r="T841" s="30">
        <v>23625000</v>
      </c>
      <c r="U841" s="16" t="s">
        <v>22</v>
      </c>
      <c r="V841" s="20" t="s">
        <v>57</v>
      </c>
      <c r="W841" s="16"/>
      <c r="X841" s="16"/>
      <c r="Y841" s="16">
        <v>70</v>
      </c>
      <c r="Z841" s="16">
        <v>30</v>
      </c>
      <c r="AA841" s="16">
        <v>0</v>
      </c>
      <c r="AB841" s="16">
        <v>0</v>
      </c>
      <c r="AC841" s="16"/>
      <c r="AD841" s="68"/>
      <c r="AE841" s="23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</row>
    <row r="842" spans="1:84" s="2" customFormat="1" ht="20" x14ac:dyDescent="0.2">
      <c r="A842" s="17" t="s">
        <v>3921</v>
      </c>
      <c r="B842" s="17" t="s">
        <v>45</v>
      </c>
      <c r="C842" s="17">
        <v>2025</v>
      </c>
      <c r="D842" s="17" t="str">
        <f t="array" ref="D842">_xlfn.SWITCH(E842,"Jatikalen","35.18.20","Kertosono", "35.18.08","Lengkong","35.18.19","Loceret","35.18.04","Tanjunganom","35.18.11","Wilangan","35.18.15")</f>
        <v>35.18.08</v>
      </c>
      <c r="E842" s="16" t="s">
        <v>128</v>
      </c>
      <c r="F842" s="33" t="s">
        <v>2094</v>
      </c>
      <c r="G842" s="33" t="s">
        <v>2098</v>
      </c>
      <c r="H842" s="16" t="s">
        <v>31</v>
      </c>
      <c r="I842" s="16">
        <v>1</v>
      </c>
      <c r="J842" s="16">
        <v>1</v>
      </c>
      <c r="K842" s="16">
        <f t="shared" si="15"/>
        <v>2</v>
      </c>
      <c r="L842" s="38">
        <v>3000000</v>
      </c>
      <c r="M842" s="17" t="s">
        <v>172</v>
      </c>
      <c r="N842" s="67">
        <v>9</v>
      </c>
      <c r="O842" s="16" t="s">
        <v>962</v>
      </c>
      <c r="P842" s="30">
        <v>42120000</v>
      </c>
      <c r="Q842" s="33" t="s">
        <v>1642</v>
      </c>
      <c r="R842" s="38">
        <v>4</v>
      </c>
      <c r="S842" s="16" t="s">
        <v>962</v>
      </c>
      <c r="T842" s="30">
        <v>28576000</v>
      </c>
      <c r="U842" s="16" t="s">
        <v>22</v>
      </c>
      <c r="V842" s="20" t="s">
        <v>57</v>
      </c>
      <c r="W842" s="16"/>
      <c r="X842" s="16"/>
      <c r="Y842" s="16">
        <v>90</v>
      </c>
      <c r="Z842" s="16">
        <v>10</v>
      </c>
      <c r="AA842" s="16">
        <v>0</v>
      </c>
      <c r="AB842" s="16">
        <v>0</v>
      </c>
      <c r="AC842" s="16"/>
      <c r="AD842" s="68"/>
      <c r="AE842" s="23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</row>
    <row r="843" spans="1:84" s="2" customFormat="1" x14ac:dyDescent="0.2">
      <c r="A843" s="17" t="s">
        <v>3921</v>
      </c>
      <c r="B843" s="17" t="s">
        <v>45</v>
      </c>
      <c r="C843" s="17">
        <v>2025</v>
      </c>
      <c r="D843" s="17" t="str">
        <f t="array" ref="D843">_xlfn.SWITCH(E843,"Bagor","35.18.14","Sukomoro",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843" s="16" t="s">
        <v>114</v>
      </c>
      <c r="F843" s="33" t="s">
        <v>1544</v>
      </c>
      <c r="G843" s="33" t="s">
        <v>2099</v>
      </c>
      <c r="H843" s="16" t="s">
        <v>47</v>
      </c>
      <c r="I843" s="16">
        <v>5</v>
      </c>
      <c r="J843" s="16">
        <v>25</v>
      </c>
      <c r="K843" s="16">
        <f t="shared" si="15"/>
        <v>30</v>
      </c>
      <c r="L843" s="38">
        <v>80000000</v>
      </c>
      <c r="M843" s="17" t="s">
        <v>341</v>
      </c>
      <c r="N843" s="67">
        <f>15*26*12</f>
        <v>4680</v>
      </c>
      <c r="O843" s="16" t="s">
        <v>962</v>
      </c>
      <c r="P843" s="30">
        <v>187200000</v>
      </c>
      <c r="Q843" s="33" t="s">
        <v>2100</v>
      </c>
      <c r="R843" s="38">
        <v>2100</v>
      </c>
      <c r="S843" s="16" t="s">
        <v>962</v>
      </c>
      <c r="T843" s="30">
        <v>79800000</v>
      </c>
      <c r="U843" s="16" t="s">
        <v>22</v>
      </c>
      <c r="V843" s="20" t="s">
        <v>1677</v>
      </c>
      <c r="W843" s="16"/>
      <c r="X843" s="16"/>
      <c r="Y843" s="16">
        <v>80</v>
      </c>
      <c r="Z843" s="16">
        <v>20</v>
      </c>
      <c r="AA843" s="16">
        <v>0</v>
      </c>
      <c r="AB843" s="16">
        <v>0</v>
      </c>
      <c r="AC843" s="16"/>
      <c r="AD843" s="68"/>
      <c r="AE843" s="23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</row>
    <row r="844" spans="1:84" s="2" customFormat="1" x14ac:dyDescent="0.2">
      <c r="A844" s="17" t="s">
        <v>3921</v>
      </c>
      <c r="B844" s="17" t="s">
        <v>45</v>
      </c>
      <c r="C844" s="17">
        <v>2025</v>
      </c>
      <c r="D844" s="17" t="str">
        <f t="array" ref="D844">_xlfn.SWITCH(E844,"Jatikalen","35.18.20","Kertosono", "35.18.08","Lengkong","35.18.19","Loceret","35.18.04","Tanjunganom","35.18.11","Wilangan","35.18.15")</f>
        <v>35.18.04</v>
      </c>
      <c r="E844" s="16" t="s">
        <v>41</v>
      </c>
      <c r="F844" s="33" t="s">
        <v>2101</v>
      </c>
      <c r="G844" s="33" t="s">
        <v>2102</v>
      </c>
      <c r="H844" s="16" t="s">
        <v>31</v>
      </c>
      <c r="I844" s="16">
        <v>3</v>
      </c>
      <c r="J844" s="16">
        <v>14</v>
      </c>
      <c r="K844" s="16">
        <f t="shared" si="15"/>
        <v>17</v>
      </c>
      <c r="L844" s="38">
        <v>50000000</v>
      </c>
      <c r="M844" s="17" t="s">
        <v>2103</v>
      </c>
      <c r="N844" s="67">
        <v>5000</v>
      </c>
      <c r="O844" s="16" t="s">
        <v>49</v>
      </c>
      <c r="P844" s="30">
        <v>172500000</v>
      </c>
      <c r="Q844" s="33" t="s">
        <v>1468</v>
      </c>
      <c r="R844" s="38">
        <f>10*12</f>
        <v>120</v>
      </c>
      <c r="S844" s="16" t="s">
        <v>1368</v>
      </c>
      <c r="T844" s="30">
        <v>60000000</v>
      </c>
      <c r="U844" s="16" t="s">
        <v>22</v>
      </c>
      <c r="V844" s="20"/>
      <c r="W844" s="16"/>
      <c r="X844" s="16"/>
      <c r="Y844" s="16">
        <v>75</v>
      </c>
      <c r="Z844" s="16">
        <v>25</v>
      </c>
      <c r="AA844" s="16">
        <v>0</v>
      </c>
      <c r="AB844" s="16">
        <v>0</v>
      </c>
      <c r="AC844" s="16"/>
      <c r="AD844" s="68"/>
      <c r="AE844" s="23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</row>
    <row r="845" spans="1:84" s="2" customFormat="1" x14ac:dyDescent="0.2">
      <c r="A845" s="17" t="s">
        <v>3921</v>
      </c>
      <c r="B845" s="17" t="s">
        <v>45</v>
      </c>
      <c r="C845" s="17">
        <v>2025</v>
      </c>
      <c r="D845" s="17" t="str">
        <f t="array" ref="D845">_xlfn.SWITCH(E845,"Bagor","35.18.14","Sukomoro",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845" s="16" t="s">
        <v>157</v>
      </c>
      <c r="F845" s="33" t="s">
        <v>1720</v>
      </c>
      <c r="G845" s="33" t="s">
        <v>2104</v>
      </c>
      <c r="H845" s="16" t="s">
        <v>81</v>
      </c>
      <c r="I845" s="16">
        <v>20</v>
      </c>
      <c r="J845" s="16">
        <v>5</v>
      </c>
      <c r="K845" s="16">
        <f t="shared" si="15"/>
        <v>25</v>
      </c>
      <c r="L845" s="38">
        <v>200000000</v>
      </c>
      <c r="M845" s="17" t="s">
        <v>1147</v>
      </c>
      <c r="N845" s="67">
        <v>22500</v>
      </c>
      <c r="O845" s="16" t="s">
        <v>962</v>
      </c>
      <c r="P845" s="30">
        <v>450000000</v>
      </c>
      <c r="Q845" s="33" t="s">
        <v>84</v>
      </c>
      <c r="R845" s="38">
        <v>8000</v>
      </c>
      <c r="S845" s="16" t="s">
        <v>962</v>
      </c>
      <c r="T845" s="30">
        <v>200000000</v>
      </c>
      <c r="U845" s="16" t="s">
        <v>22</v>
      </c>
      <c r="V845" s="20"/>
      <c r="W845" s="16"/>
      <c r="X845" s="16"/>
      <c r="Y845" s="16">
        <v>30</v>
      </c>
      <c r="Z845" s="16">
        <v>30</v>
      </c>
      <c r="AA845" s="16">
        <v>40</v>
      </c>
      <c r="AB845" s="16">
        <v>0</v>
      </c>
      <c r="AC845" s="16"/>
      <c r="AD845" s="68"/>
      <c r="AE845" s="23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</row>
    <row r="846" spans="1:84" s="2" customFormat="1" x14ac:dyDescent="0.2">
      <c r="A846" s="17" t="s">
        <v>3921</v>
      </c>
      <c r="B846" s="17" t="s">
        <v>45</v>
      </c>
      <c r="C846" s="17">
        <v>2025</v>
      </c>
      <c r="D846" s="17" t="str">
        <f t="array" ref="D846">_xlfn.SWITCH(E846,"Jatikalen","35.18.20","Kertosono", "35.18.08","Lengkong","35.18.19","Loceret","35.18.04","Tanjunganom","35.18.11","Wilangan","35.18.15")</f>
        <v>35.18.11</v>
      </c>
      <c r="E846" s="16" t="s">
        <v>60</v>
      </c>
      <c r="F846" s="33" t="s">
        <v>1943</v>
      </c>
      <c r="G846" s="33" t="s">
        <v>2105</v>
      </c>
      <c r="H846" s="16" t="s">
        <v>47</v>
      </c>
      <c r="I846" s="16">
        <v>3</v>
      </c>
      <c r="J846" s="16">
        <v>0</v>
      </c>
      <c r="K846" s="16">
        <f t="shared" si="15"/>
        <v>3</v>
      </c>
      <c r="L846" s="38">
        <v>100000000</v>
      </c>
      <c r="M846" s="17" t="s">
        <v>2085</v>
      </c>
      <c r="N846" s="67">
        <f>250*12</f>
        <v>3000</v>
      </c>
      <c r="O846" s="16" t="s">
        <v>962</v>
      </c>
      <c r="P846" s="30">
        <v>255000000</v>
      </c>
      <c r="Q846" s="33" t="s">
        <v>1537</v>
      </c>
      <c r="R846" s="38">
        <v>1700</v>
      </c>
      <c r="S846" s="16" t="s">
        <v>962</v>
      </c>
      <c r="T846" s="30">
        <v>357000000</v>
      </c>
      <c r="U846" s="16" t="s">
        <v>22</v>
      </c>
      <c r="V846" s="20"/>
      <c r="W846" s="16"/>
      <c r="X846" s="16"/>
      <c r="Y846" s="16">
        <v>80</v>
      </c>
      <c r="Z846" s="16">
        <v>20</v>
      </c>
      <c r="AA846" s="16">
        <v>0</v>
      </c>
      <c r="AB846" s="16">
        <v>0</v>
      </c>
      <c r="AC846" s="16"/>
      <c r="AD846" s="68"/>
      <c r="AE846" s="23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</row>
    <row r="847" spans="1:84" s="2" customFormat="1" x14ac:dyDescent="0.2">
      <c r="A847" s="17" t="s">
        <v>3921</v>
      </c>
      <c r="B847" s="17" t="s">
        <v>45</v>
      </c>
      <c r="C847" s="17">
        <v>2025</v>
      </c>
      <c r="D847" s="17" t="str">
        <f t="array" ref="D847">_xlfn.SWITCH(E847,"Jatikalen","35.18.20","Kertosono", "35.18.08","Lengkong","35.18.19","Loceret","35.18.04","Tanjunganom","35.18.11","Wilangan","35.18.15")</f>
        <v>35.18.11</v>
      </c>
      <c r="E847" s="16" t="s">
        <v>60</v>
      </c>
      <c r="F847" s="33" t="s">
        <v>1943</v>
      </c>
      <c r="G847" s="33" t="s">
        <v>2106</v>
      </c>
      <c r="H847" s="16" t="s">
        <v>31</v>
      </c>
      <c r="I847" s="16">
        <v>1</v>
      </c>
      <c r="J847" s="16">
        <v>1</v>
      </c>
      <c r="K847" s="16">
        <f t="shared" si="15"/>
        <v>2</v>
      </c>
      <c r="L847" s="38">
        <v>2000000</v>
      </c>
      <c r="M847" s="17" t="s">
        <v>1951</v>
      </c>
      <c r="N847" s="67">
        <f>300*26*12</f>
        <v>93600</v>
      </c>
      <c r="O847" s="16" t="s">
        <v>49</v>
      </c>
      <c r="P847" s="30">
        <v>46800000</v>
      </c>
      <c r="Q847" s="33" t="s">
        <v>286</v>
      </c>
      <c r="R847" s="38">
        <f>5*26</f>
        <v>130</v>
      </c>
      <c r="S847" s="16" t="s">
        <v>2107</v>
      </c>
      <c r="T847" s="30">
        <v>27300000</v>
      </c>
      <c r="U847" s="16" t="s">
        <v>22</v>
      </c>
      <c r="V847" s="20" t="s">
        <v>2108</v>
      </c>
      <c r="W847" s="16"/>
      <c r="X847" s="16"/>
      <c r="Y847" s="16">
        <v>75</v>
      </c>
      <c r="Z847" s="16">
        <v>25</v>
      </c>
      <c r="AA847" s="16">
        <v>0</v>
      </c>
      <c r="AB847" s="16">
        <v>0</v>
      </c>
      <c r="AC847" s="16"/>
      <c r="AD847" s="68"/>
      <c r="AE847" s="23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</row>
    <row r="848" spans="1:84" s="2" customFormat="1" x14ac:dyDescent="0.2">
      <c r="A848" s="17" t="s">
        <v>3921</v>
      </c>
      <c r="B848" s="17" t="s">
        <v>45</v>
      </c>
      <c r="C848" s="17">
        <v>2025</v>
      </c>
      <c r="D848" s="17" t="str">
        <f t="array" ref="D848">_xlfn.SWITCH(E848,"Jatikalen","35.18.20","Kertosono", "35.18.08","Lengkong","35.18.19","Loceret","35.18.04","Tanjunganom","35.18.11","Wilangan","35.18.15")</f>
        <v>35.18.11</v>
      </c>
      <c r="E848" s="16" t="s">
        <v>60</v>
      </c>
      <c r="F848" s="33" t="s">
        <v>1943</v>
      </c>
      <c r="G848" s="33" t="s">
        <v>2109</v>
      </c>
      <c r="H848" s="16" t="s">
        <v>31</v>
      </c>
      <c r="I848" s="16">
        <v>1</v>
      </c>
      <c r="J848" s="16">
        <v>1</v>
      </c>
      <c r="K848" s="16">
        <f t="shared" si="15"/>
        <v>2</v>
      </c>
      <c r="L848" s="38">
        <v>3500000</v>
      </c>
      <c r="M848" s="17" t="s">
        <v>1951</v>
      </c>
      <c r="N848" s="67">
        <f>350*12*26</f>
        <v>109200</v>
      </c>
      <c r="O848" s="16" t="s">
        <v>49</v>
      </c>
      <c r="P848" s="30">
        <v>54600000</v>
      </c>
      <c r="Q848" s="33" t="s">
        <v>286</v>
      </c>
      <c r="R848" s="38">
        <f>4*26</f>
        <v>104</v>
      </c>
      <c r="S848" s="16" t="s">
        <v>2107</v>
      </c>
      <c r="T848" s="30">
        <v>21840000</v>
      </c>
      <c r="U848" s="16" t="s">
        <v>22</v>
      </c>
      <c r="V848" s="20" t="s">
        <v>2108</v>
      </c>
      <c r="W848" s="16"/>
      <c r="X848" s="16"/>
      <c r="Y848" s="16">
        <v>80</v>
      </c>
      <c r="Z848" s="16">
        <v>20</v>
      </c>
      <c r="AA848" s="16">
        <v>0</v>
      </c>
      <c r="AB848" s="16">
        <v>0</v>
      </c>
      <c r="AC848" s="16"/>
      <c r="AD848" s="68"/>
      <c r="AE848" s="23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</row>
    <row r="849" spans="1:84" s="2" customFormat="1" x14ac:dyDescent="0.2">
      <c r="A849" s="17" t="s">
        <v>3921</v>
      </c>
      <c r="B849" s="17" t="s">
        <v>45</v>
      </c>
      <c r="C849" s="17">
        <v>2025</v>
      </c>
      <c r="D849" s="17" t="str">
        <f t="array" ref="D849">_xlfn.SWITCH(E849,"Jatikalen","35.18.20","Kertosono", "35.18.08","Lengkong","35.18.19","Loceret","35.18.04","Tanjunganom","35.18.11","Wilangan","35.18.15")</f>
        <v>35.18.11</v>
      </c>
      <c r="E849" s="16" t="s">
        <v>60</v>
      </c>
      <c r="F849" s="33" t="s">
        <v>1943</v>
      </c>
      <c r="G849" s="33" t="s">
        <v>1003</v>
      </c>
      <c r="H849" s="16" t="s">
        <v>31</v>
      </c>
      <c r="I849" s="16">
        <v>2</v>
      </c>
      <c r="J849" s="16">
        <v>2</v>
      </c>
      <c r="K849" s="16">
        <f t="shared" si="15"/>
        <v>4</v>
      </c>
      <c r="L849" s="38">
        <v>5000000</v>
      </c>
      <c r="M849" s="17" t="s">
        <v>1951</v>
      </c>
      <c r="N849" s="67">
        <f>500*26*12</f>
        <v>156000</v>
      </c>
      <c r="O849" s="16" t="s">
        <v>49</v>
      </c>
      <c r="P849" s="30">
        <v>62400000</v>
      </c>
      <c r="Q849" s="33" t="s">
        <v>286</v>
      </c>
      <c r="R849" s="38">
        <f>10*12</f>
        <v>120</v>
      </c>
      <c r="S849" s="16" t="s">
        <v>2107</v>
      </c>
      <c r="T849" s="30">
        <v>27000000</v>
      </c>
      <c r="U849" s="16" t="s">
        <v>22</v>
      </c>
      <c r="V849" s="20" t="s">
        <v>2005</v>
      </c>
      <c r="W849" s="16"/>
      <c r="X849" s="16"/>
      <c r="Y849" s="16">
        <v>80</v>
      </c>
      <c r="Z849" s="16">
        <v>20</v>
      </c>
      <c r="AA849" s="16">
        <v>0</v>
      </c>
      <c r="AB849" s="16">
        <v>0</v>
      </c>
      <c r="AC849" s="16"/>
      <c r="AD849" s="68"/>
      <c r="AE849" s="23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</row>
    <row r="850" spans="1:84" s="2" customFormat="1" x14ac:dyDescent="0.2">
      <c r="A850" s="17" t="s">
        <v>3921</v>
      </c>
      <c r="B850" s="17" t="s">
        <v>45</v>
      </c>
      <c r="C850" s="17">
        <v>2025</v>
      </c>
      <c r="D850" s="17" t="str">
        <f t="array" ref="D850">_xlfn.SWITCH(E850,"Jatikalen","35.18.20","Kertosono", "35.18.08","Lengkong","35.18.19","Loceret","35.18.04","Tanjunganom","35.18.11","Wilangan","35.18.15")</f>
        <v>35.18.11</v>
      </c>
      <c r="E850" s="16" t="s">
        <v>60</v>
      </c>
      <c r="F850" s="33" t="s">
        <v>1943</v>
      </c>
      <c r="G850" s="33" t="s">
        <v>2110</v>
      </c>
      <c r="H850" s="16" t="s">
        <v>31</v>
      </c>
      <c r="I850" s="16">
        <v>1</v>
      </c>
      <c r="J850" s="16">
        <v>0</v>
      </c>
      <c r="K850" s="16">
        <f t="shared" si="15"/>
        <v>1</v>
      </c>
      <c r="L850" s="38">
        <v>5000000</v>
      </c>
      <c r="M850" s="17" t="s">
        <v>1951</v>
      </c>
      <c r="N850" s="67">
        <f>500*26*12</f>
        <v>156000</v>
      </c>
      <c r="O850" s="16" t="s">
        <v>49</v>
      </c>
      <c r="P850" s="30">
        <v>78000000</v>
      </c>
      <c r="Q850" s="33" t="s">
        <v>286</v>
      </c>
      <c r="R850" s="38">
        <f>15*12</f>
        <v>180</v>
      </c>
      <c r="S850" s="16" t="s">
        <v>2107</v>
      </c>
      <c r="T850" s="30">
        <v>36000000</v>
      </c>
      <c r="U850" s="16" t="s">
        <v>22</v>
      </c>
      <c r="V850" s="20" t="s">
        <v>2005</v>
      </c>
      <c r="W850" s="16"/>
      <c r="X850" s="16"/>
      <c r="Y850" s="16">
        <v>80</v>
      </c>
      <c r="Z850" s="16">
        <v>20</v>
      </c>
      <c r="AA850" s="16">
        <v>0</v>
      </c>
      <c r="AB850" s="16">
        <v>0</v>
      </c>
      <c r="AC850" s="16"/>
      <c r="AD850" s="68"/>
      <c r="AE850" s="23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</row>
    <row r="851" spans="1:84" s="2" customFormat="1" x14ac:dyDescent="0.2">
      <c r="A851" s="17" t="s">
        <v>3921</v>
      </c>
      <c r="B851" s="17" t="s">
        <v>45</v>
      </c>
      <c r="C851" s="17">
        <v>2025</v>
      </c>
      <c r="D851" s="17" t="str">
        <f t="array" ref="D851">_xlfn.SWITCH(E851,"Jatikalen","35.18.20","Kertosono", "35.18.08","Lengkong","35.18.19","Loceret","35.18.04","Tanjunganom","35.18.11","Wilangan","35.18.15")</f>
        <v>35.18.11</v>
      </c>
      <c r="E851" s="16" t="s">
        <v>60</v>
      </c>
      <c r="F851" s="33" t="s">
        <v>1943</v>
      </c>
      <c r="G851" s="33" t="s">
        <v>2111</v>
      </c>
      <c r="H851" s="16" t="s">
        <v>31</v>
      </c>
      <c r="I851" s="16">
        <v>4</v>
      </c>
      <c r="J851" s="16">
        <v>4</v>
      </c>
      <c r="K851" s="16">
        <f t="shared" si="15"/>
        <v>8</v>
      </c>
      <c r="L851" s="38">
        <v>20000000</v>
      </c>
      <c r="M851" s="17" t="s">
        <v>1951</v>
      </c>
      <c r="N851" s="67">
        <f>300*26*12</f>
        <v>93600</v>
      </c>
      <c r="O851" s="16" t="s">
        <v>49</v>
      </c>
      <c r="P851" s="30">
        <v>48672000</v>
      </c>
      <c r="Q851" s="33" t="s">
        <v>286</v>
      </c>
      <c r="R851" s="38">
        <f>10*12</f>
        <v>120</v>
      </c>
      <c r="S851" s="16" t="s">
        <v>2107</v>
      </c>
      <c r="T851" s="30">
        <v>27600000</v>
      </c>
      <c r="U851" s="16" t="s">
        <v>22</v>
      </c>
      <c r="V851" s="20" t="s">
        <v>2005</v>
      </c>
      <c r="W851" s="16"/>
      <c r="X851" s="16"/>
      <c r="Y851" s="16">
        <v>80</v>
      </c>
      <c r="Z851" s="16">
        <v>20</v>
      </c>
      <c r="AA851" s="16">
        <v>0</v>
      </c>
      <c r="AB851" s="16">
        <v>0</v>
      </c>
      <c r="AC851" s="16"/>
      <c r="AD851" s="68"/>
      <c r="AE851" s="23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</row>
    <row r="852" spans="1:84" s="2" customFormat="1" x14ac:dyDescent="0.2">
      <c r="A852" s="17" t="s">
        <v>3921</v>
      </c>
      <c r="B852" s="17" t="s">
        <v>45</v>
      </c>
      <c r="C852" s="17">
        <v>2025</v>
      </c>
      <c r="D852" s="17" t="str">
        <f t="array" ref="D852">_xlfn.SWITCH(E852,"Jatikalen","35.18.20","Kertosono", "35.18.08","Lengkong","35.18.19","Loceret","35.18.04","Tanjunganom","35.18.11","Wilangan","35.18.15")</f>
        <v>35.18.11</v>
      </c>
      <c r="E852" s="16" t="s">
        <v>60</v>
      </c>
      <c r="F852" s="33" t="s">
        <v>1943</v>
      </c>
      <c r="G852" s="33" t="s">
        <v>2112</v>
      </c>
      <c r="H852" s="16" t="s">
        <v>31</v>
      </c>
      <c r="I852" s="16">
        <v>1</v>
      </c>
      <c r="J852" s="16">
        <v>1</v>
      </c>
      <c r="K852" s="16">
        <f t="shared" si="15"/>
        <v>2</v>
      </c>
      <c r="L852" s="38">
        <v>10000000</v>
      </c>
      <c r="M852" s="17" t="s">
        <v>1951</v>
      </c>
      <c r="N852" s="67">
        <f>500*26*12</f>
        <v>156000</v>
      </c>
      <c r="O852" s="16" t="s">
        <v>49</v>
      </c>
      <c r="P852" s="30">
        <v>78000000</v>
      </c>
      <c r="Q852" s="33" t="s">
        <v>286</v>
      </c>
      <c r="R852" s="38">
        <f>15*12</f>
        <v>180</v>
      </c>
      <c r="S852" s="16" t="s">
        <v>2107</v>
      </c>
      <c r="T852" s="30">
        <v>41400000</v>
      </c>
      <c r="U852" s="16" t="s">
        <v>22</v>
      </c>
      <c r="V852" s="20" t="s">
        <v>2005</v>
      </c>
      <c r="W852" s="16"/>
      <c r="X852" s="16"/>
      <c r="Y852" s="16">
        <v>75</v>
      </c>
      <c r="Z852" s="16">
        <v>25</v>
      </c>
      <c r="AA852" s="16">
        <v>0</v>
      </c>
      <c r="AB852" s="16">
        <v>0</v>
      </c>
      <c r="AC852" s="16"/>
      <c r="AD852" s="68"/>
      <c r="AE852" s="23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</row>
    <row r="853" spans="1:84" s="2" customFormat="1" x14ac:dyDescent="0.2">
      <c r="A853" s="17" t="s">
        <v>3921</v>
      </c>
      <c r="B853" s="17" t="s">
        <v>45</v>
      </c>
      <c r="C853" s="17">
        <v>2025</v>
      </c>
      <c r="D853" s="17" t="str">
        <f t="array" ref="D853">_xlfn.SWITCH(E853,"Jatikalen","35.18.20","Kertosono", "35.18.08","Lengkong","35.18.19","Loceret","35.18.04","Tanjunganom","35.18.11","Wilangan","35.18.15")</f>
        <v>35.18.11</v>
      </c>
      <c r="E853" s="16" t="s">
        <v>60</v>
      </c>
      <c r="F853" s="33" t="s">
        <v>1943</v>
      </c>
      <c r="G853" s="33" t="s">
        <v>1645</v>
      </c>
      <c r="H853" s="16" t="s">
        <v>31</v>
      </c>
      <c r="I853" s="16">
        <v>2</v>
      </c>
      <c r="J853" s="16">
        <v>1</v>
      </c>
      <c r="K853" s="16">
        <f t="shared" si="15"/>
        <v>3</v>
      </c>
      <c r="L853" s="38">
        <v>10000000</v>
      </c>
      <c r="M853" s="17" t="s">
        <v>1951</v>
      </c>
      <c r="N853" s="67">
        <f>500*12*26</f>
        <v>156000</v>
      </c>
      <c r="O853" s="16" t="s">
        <v>49</v>
      </c>
      <c r="P853" s="30">
        <v>85800000</v>
      </c>
      <c r="Q853" s="33" t="s">
        <v>286</v>
      </c>
      <c r="R853" s="38">
        <f>17*12</f>
        <v>204</v>
      </c>
      <c r="S853" s="16" t="s">
        <v>2107</v>
      </c>
      <c r="T853" s="30">
        <v>46920000</v>
      </c>
      <c r="U853" s="16" t="s">
        <v>22</v>
      </c>
      <c r="V853" s="20" t="s">
        <v>57</v>
      </c>
      <c r="W853" s="16"/>
      <c r="X853" s="16"/>
      <c r="Y853" s="16">
        <v>80</v>
      </c>
      <c r="Z853" s="16">
        <v>20</v>
      </c>
      <c r="AA853" s="16">
        <v>0</v>
      </c>
      <c r="AB853" s="16">
        <v>0</v>
      </c>
      <c r="AC853" s="16"/>
      <c r="AD853" s="68"/>
      <c r="AE853" s="23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</row>
    <row r="854" spans="1:84" s="2" customFormat="1" x14ac:dyDescent="0.2">
      <c r="A854" s="17" t="s">
        <v>3921</v>
      </c>
      <c r="B854" s="17" t="s">
        <v>45</v>
      </c>
      <c r="C854" s="17">
        <v>2025</v>
      </c>
      <c r="D854" s="17" t="str">
        <f t="array" ref="D854">_xlfn.SWITCH(E854,"Jatikalen","35.18.20","Kertosono", "35.18.08","Lengkong","35.18.19","Loceret","35.18.04","Tanjunganom","35.18.11","Wilangan","35.18.15")</f>
        <v>35.18.11</v>
      </c>
      <c r="E854" s="16" t="s">
        <v>60</v>
      </c>
      <c r="F854" s="33" t="s">
        <v>1943</v>
      </c>
      <c r="G854" s="33" t="s">
        <v>2113</v>
      </c>
      <c r="H854" s="16" t="s">
        <v>31</v>
      </c>
      <c r="I854" s="16">
        <v>1</v>
      </c>
      <c r="J854" s="16">
        <v>1</v>
      </c>
      <c r="K854" s="16">
        <f t="shared" si="15"/>
        <v>2</v>
      </c>
      <c r="L854" s="38">
        <v>7000000</v>
      </c>
      <c r="M854" s="17" t="s">
        <v>1951</v>
      </c>
      <c r="N854" s="67">
        <f>500*26*12</f>
        <v>156000</v>
      </c>
      <c r="O854" s="16" t="s">
        <v>49</v>
      </c>
      <c r="P854" s="30">
        <v>87360000</v>
      </c>
      <c r="Q854" s="33" t="s">
        <v>286</v>
      </c>
      <c r="R854" s="38">
        <f>20*12</f>
        <v>240</v>
      </c>
      <c r="S854" s="16" t="s">
        <v>2107</v>
      </c>
      <c r="T854" s="30">
        <v>55200000</v>
      </c>
      <c r="U854" s="16" t="s">
        <v>22</v>
      </c>
      <c r="V854" s="20" t="s">
        <v>2108</v>
      </c>
      <c r="W854" s="16"/>
      <c r="X854" s="16"/>
      <c r="Y854" s="16">
        <v>90</v>
      </c>
      <c r="Z854" s="16">
        <v>10</v>
      </c>
      <c r="AA854" s="16">
        <v>0</v>
      </c>
      <c r="AB854" s="16">
        <v>0</v>
      </c>
      <c r="AC854" s="16"/>
      <c r="AD854" s="68"/>
      <c r="AE854" s="23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</row>
    <row r="855" spans="1:84" s="2" customFormat="1" x14ac:dyDescent="0.2">
      <c r="A855" s="17" t="s">
        <v>3921</v>
      </c>
      <c r="B855" s="17" t="s">
        <v>45</v>
      </c>
      <c r="C855" s="17">
        <v>2025</v>
      </c>
      <c r="D855" s="17" t="str">
        <f t="array" ref="D855">_xlfn.SWITCH(E855,"Jatikalen","35.18.20","Kertosono", "35.18.08","Lengkong","35.18.19","Loceret","35.18.04","Tanjunganom","35.18.11","Wilangan","35.18.15")</f>
        <v>35.18.11</v>
      </c>
      <c r="E855" s="16" t="s">
        <v>60</v>
      </c>
      <c r="F855" s="33" t="s">
        <v>1943</v>
      </c>
      <c r="G855" s="33" t="s">
        <v>2114</v>
      </c>
      <c r="H855" s="16" t="s">
        <v>31</v>
      </c>
      <c r="I855" s="16">
        <v>1</v>
      </c>
      <c r="J855" s="16">
        <v>1</v>
      </c>
      <c r="K855" s="16">
        <f t="shared" si="15"/>
        <v>2</v>
      </c>
      <c r="L855" s="38">
        <v>1000000</v>
      </c>
      <c r="M855" s="17" t="s">
        <v>1951</v>
      </c>
      <c r="N855" s="67">
        <f>100*26*12</f>
        <v>31200</v>
      </c>
      <c r="O855" s="16" t="s">
        <v>49</v>
      </c>
      <c r="P855" s="30">
        <v>15600000</v>
      </c>
      <c r="Q855" s="33" t="s">
        <v>286</v>
      </c>
      <c r="R855" s="38">
        <f>3*12</f>
        <v>36</v>
      </c>
      <c r="S855" s="16" t="s">
        <v>2107</v>
      </c>
      <c r="T855" s="30">
        <v>7560000</v>
      </c>
      <c r="U855" s="16" t="s">
        <v>22</v>
      </c>
      <c r="V855" s="20" t="s">
        <v>2005</v>
      </c>
      <c r="W855" s="16"/>
      <c r="X855" s="16"/>
      <c r="Y855" s="16">
        <v>90</v>
      </c>
      <c r="Z855" s="16">
        <v>10</v>
      </c>
      <c r="AA855" s="16">
        <v>0</v>
      </c>
      <c r="AB855" s="16">
        <v>0</v>
      </c>
      <c r="AC855" s="16"/>
      <c r="AD855" s="68"/>
      <c r="AE855" s="23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</row>
    <row r="856" spans="1:84" s="2" customFormat="1" x14ac:dyDescent="0.2">
      <c r="A856" s="17" t="s">
        <v>3921</v>
      </c>
      <c r="B856" s="17" t="s">
        <v>45</v>
      </c>
      <c r="C856" s="17">
        <v>2025</v>
      </c>
      <c r="D856" s="17" t="str">
        <f t="array" ref="D856">_xlfn.SWITCH(E856,"Jatikalen","35.18.20","Kertosono", "35.18.08","Lengkong","35.18.19","Loceret","35.18.04","Tanjunganom","35.18.11","Wilangan","35.18.15")</f>
        <v>35.18.11</v>
      </c>
      <c r="E856" s="16" t="s">
        <v>60</v>
      </c>
      <c r="F856" s="33" t="s">
        <v>1943</v>
      </c>
      <c r="G856" s="33" t="s">
        <v>1661</v>
      </c>
      <c r="H856" s="16" t="s">
        <v>31</v>
      </c>
      <c r="I856" s="16">
        <v>2</v>
      </c>
      <c r="J856" s="16">
        <v>1</v>
      </c>
      <c r="K856" s="16">
        <f t="shared" si="15"/>
        <v>3</v>
      </c>
      <c r="L856" s="38">
        <v>5000000</v>
      </c>
      <c r="M856" s="17" t="s">
        <v>1951</v>
      </c>
      <c r="N856" s="67">
        <v>156000</v>
      </c>
      <c r="O856" s="16" t="s">
        <v>49</v>
      </c>
      <c r="P856" s="30">
        <v>78000000</v>
      </c>
      <c r="Q856" s="33" t="s">
        <v>286</v>
      </c>
      <c r="R856" s="38">
        <v>120</v>
      </c>
      <c r="S856" s="16" t="s">
        <v>2107</v>
      </c>
      <c r="T856" s="30">
        <v>24000000</v>
      </c>
      <c r="U856" s="16" t="s">
        <v>22</v>
      </c>
      <c r="V856" s="20"/>
      <c r="W856" s="16"/>
      <c r="X856" s="16"/>
      <c r="Y856" s="16">
        <v>80</v>
      </c>
      <c r="Z856" s="16">
        <v>20</v>
      </c>
      <c r="AA856" s="16">
        <v>0</v>
      </c>
      <c r="AB856" s="16">
        <v>0</v>
      </c>
      <c r="AC856" s="16"/>
      <c r="AD856" s="68"/>
      <c r="AE856" s="23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</row>
    <row r="857" spans="1:84" s="2" customFormat="1" x14ac:dyDescent="0.2">
      <c r="A857" s="17" t="s">
        <v>3921</v>
      </c>
      <c r="B857" s="17" t="s">
        <v>45</v>
      </c>
      <c r="C857" s="17">
        <v>2025</v>
      </c>
      <c r="D857" s="17" t="str">
        <f t="array" ref="D857">_xlfn.SWITCH(E857,"Jatikalen","35.18.20","Kertosono", "35.18.08","Lengkong","35.18.19","Loceret","35.18.04","Tanjunganom","35.18.11","Wilangan","35.18.15")</f>
        <v>35.18.11</v>
      </c>
      <c r="E857" s="16" t="s">
        <v>60</v>
      </c>
      <c r="F857" s="33" t="s">
        <v>1943</v>
      </c>
      <c r="G857" s="33" t="s">
        <v>2115</v>
      </c>
      <c r="H857" s="16" t="s">
        <v>31</v>
      </c>
      <c r="I857" s="16">
        <v>1</v>
      </c>
      <c r="J857" s="16">
        <v>1</v>
      </c>
      <c r="K857" s="16">
        <f t="shared" si="15"/>
        <v>2</v>
      </c>
      <c r="L857" s="38">
        <v>2000000</v>
      </c>
      <c r="M857" s="17" t="s">
        <v>1951</v>
      </c>
      <c r="N857" s="67">
        <f>800*6*12</f>
        <v>57600</v>
      </c>
      <c r="O857" s="16" t="s">
        <v>49</v>
      </c>
      <c r="P857" s="30">
        <v>28800000</v>
      </c>
      <c r="Q857" s="33" t="s">
        <v>286</v>
      </c>
      <c r="R857" s="38">
        <f>4*12</f>
        <v>48</v>
      </c>
      <c r="S857" s="16" t="s">
        <v>2107</v>
      </c>
      <c r="T857" s="30">
        <v>11040000</v>
      </c>
      <c r="U857" s="16" t="s">
        <v>22</v>
      </c>
      <c r="V857" s="20" t="s">
        <v>2005</v>
      </c>
      <c r="W857" s="16"/>
      <c r="X857" s="16"/>
      <c r="Y857" s="16">
        <v>90</v>
      </c>
      <c r="Z857" s="16">
        <v>10</v>
      </c>
      <c r="AA857" s="16">
        <v>0</v>
      </c>
      <c r="AB857" s="16">
        <v>0</v>
      </c>
      <c r="AC857" s="16"/>
      <c r="AD857" s="68"/>
      <c r="AE857" s="23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</row>
    <row r="858" spans="1:84" s="2" customFormat="1" x14ac:dyDescent="0.2">
      <c r="A858" s="17" t="s">
        <v>3921</v>
      </c>
      <c r="B858" s="17" t="s">
        <v>45</v>
      </c>
      <c r="C858" s="17">
        <v>2025</v>
      </c>
      <c r="D858" s="17" t="str">
        <f t="array" ref="D858">_xlfn.SWITCH(E858,"Jatikalen","35.18.20","Kertosono", "35.18.08","Lengkong","35.18.19","Loceret","35.18.04","Tanjunganom","35.18.11","Wilangan","35.18.15")</f>
        <v>35.18.11</v>
      </c>
      <c r="E858" s="16" t="s">
        <v>60</v>
      </c>
      <c r="F858" s="33" t="s">
        <v>1943</v>
      </c>
      <c r="G858" s="33" t="s">
        <v>2116</v>
      </c>
      <c r="H858" s="16" t="s">
        <v>31</v>
      </c>
      <c r="I858" s="16">
        <v>3</v>
      </c>
      <c r="J858" s="16">
        <v>0</v>
      </c>
      <c r="K858" s="16">
        <f t="shared" si="15"/>
        <v>3</v>
      </c>
      <c r="L858" s="38">
        <v>3000000</v>
      </c>
      <c r="M858" s="17" t="s">
        <v>1951</v>
      </c>
      <c r="N858" s="67">
        <f>400*26*12</f>
        <v>124800</v>
      </c>
      <c r="O858" s="16" t="s">
        <v>49</v>
      </c>
      <c r="P858" s="30">
        <v>62400000</v>
      </c>
      <c r="Q858" s="33" t="s">
        <v>286</v>
      </c>
      <c r="R858" s="38">
        <f>11*12</f>
        <v>132</v>
      </c>
      <c r="S858" s="16" t="s">
        <v>2107</v>
      </c>
      <c r="T858" s="30">
        <v>26400000</v>
      </c>
      <c r="U858" s="16" t="s">
        <v>22</v>
      </c>
      <c r="V858" s="20" t="s">
        <v>57</v>
      </c>
      <c r="W858" s="16"/>
      <c r="X858" s="16"/>
      <c r="Y858" s="16">
        <v>80</v>
      </c>
      <c r="Z858" s="16">
        <v>20</v>
      </c>
      <c r="AA858" s="16">
        <v>0</v>
      </c>
      <c r="AB858" s="16">
        <v>0</v>
      </c>
      <c r="AC858" s="16"/>
      <c r="AD858" s="68"/>
      <c r="AE858" s="23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</row>
    <row r="859" spans="1:84" s="2" customFormat="1" x14ac:dyDescent="0.2">
      <c r="A859" s="17" t="s">
        <v>3921</v>
      </c>
      <c r="B859" s="17" t="s">
        <v>45</v>
      </c>
      <c r="C859" s="17">
        <v>2025</v>
      </c>
      <c r="D859" s="17" t="str">
        <f t="array" ref="D859">_xlfn.SWITCH(E859,"Jatikalen","35.18.20","Kertosono", "35.18.08","Lengkong","35.18.19","Loceret","35.18.04","Tanjunganom","35.18.11","Wilangan","35.18.15")</f>
        <v>35.18.11</v>
      </c>
      <c r="E859" s="16" t="s">
        <v>60</v>
      </c>
      <c r="F859" s="33" t="s">
        <v>1943</v>
      </c>
      <c r="G859" s="33" t="s">
        <v>2117</v>
      </c>
      <c r="H859" s="16" t="s">
        <v>31</v>
      </c>
      <c r="I859" s="16">
        <v>1</v>
      </c>
      <c r="J859" s="16">
        <v>0</v>
      </c>
      <c r="K859" s="16">
        <f t="shared" si="15"/>
        <v>1</v>
      </c>
      <c r="L859" s="38">
        <v>3000000</v>
      </c>
      <c r="M859" s="17" t="s">
        <v>1951</v>
      </c>
      <c r="N859" s="67">
        <f>6000*12</f>
        <v>72000</v>
      </c>
      <c r="O859" s="16" t="s">
        <v>49</v>
      </c>
      <c r="P859" s="30">
        <v>36000000</v>
      </c>
      <c r="Q859" s="33" t="s">
        <v>286</v>
      </c>
      <c r="R859" s="38">
        <f>12*5</f>
        <v>60</v>
      </c>
      <c r="S859" s="16" t="s">
        <v>2107</v>
      </c>
      <c r="T859" s="30">
        <v>12000000</v>
      </c>
      <c r="U859" s="16" t="s">
        <v>22</v>
      </c>
      <c r="V859" s="20" t="s">
        <v>2005</v>
      </c>
      <c r="W859" s="16"/>
      <c r="X859" s="16"/>
      <c r="Y859" s="16">
        <v>80</v>
      </c>
      <c r="Z859" s="16">
        <v>20</v>
      </c>
      <c r="AA859" s="16">
        <v>0</v>
      </c>
      <c r="AB859" s="16">
        <v>0</v>
      </c>
      <c r="AC859" s="16"/>
      <c r="AD859" s="68"/>
      <c r="AE859" s="23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</row>
    <row r="860" spans="1:84" s="2" customFormat="1" x14ac:dyDescent="0.2">
      <c r="A860" s="17" t="s">
        <v>3921</v>
      </c>
      <c r="B860" s="17" t="s">
        <v>45</v>
      </c>
      <c r="C860" s="17">
        <v>2025</v>
      </c>
      <c r="D860" s="17" t="str">
        <f t="array" ref="D860">_xlfn.SWITCH(E860,"Jatikalen","35.18.20","Kertosono", "35.18.08","Lengkong","35.18.19","Loceret","35.18.04","Tanjunganom","35.18.11","Wilangan","35.18.15")</f>
        <v>35.18.11</v>
      </c>
      <c r="E860" s="16" t="s">
        <v>60</v>
      </c>
      <c r="F860" s="33" t="s">
        <v>1943</v>
      </c>
      <c r="G860" s="33" t="s">
        <v>2118</v>
      </c>
      <c r="H860" s="16" t="s">
        <v>31</v>
      </c>
      <c r="I860" s="16">
        <v>1</v>
      </c>
      <c r="J860" s="16">
        <v>1</v>
      </c>
      <c r="K860" s="16">
        <f t="shared" si="15"/>
        <v>2</v>
      </c>
      <c r="L860" s="38">
        <v>5000000</v>
      </c>
      <c r="M860" s="17" t="s">
        <v>1951</v>
      </c>
      <c r="N860" s="67">
        <f>500*26*12</f>
        <v>156000</v>
      </c>
      <c r="O860" s="16" t="s">
        <v>49</v>
      </c>
      <c r="P860" s="30">
        <v>78000000</v>
      </c>
      <c r="Q860" s="33" t="s">
        <v>286</v>
      </c>
      <c r="R860" s="38">
        <f>5*12</f>
        <v>60</v>
      </c>
      <c r="S860" s="16" t="s">
        <v>2107</v>
      </c>
      <c r="T860" s="30">
        <v>15000000</v>
      </c>
      <c r="U860" s="16" t="s">
        <v>22</v>
      </c>
      <c r="V860" s="20" t="s">
        <v>2108</v>
      </c>
      <c r="W860" s="16"/>
      <c r="X860" s="16"/>
      <c r="Y860" s="16">
        <v>80</v>
      </c>
      <c r="Z860" s="16">
        <v>20</v>
      </c>
      <c r="AA860" s="16">
        <v>0</v>
      </c>
      <c r="AB860" s="16">
        <v>0</v>
      </c>
      <c r="AC860" s="16"/>
      <c r="AD860" s="68"/>
      <c r="AE860" s="23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</row>
    <row r="861" spans="1:84" s="2" customFormat="1" x14ac:dyDescent="0.2">
      <c r="A861" s="17" t="s">
        <v>3921</v>
      </c>
      <c r="B861" s="17" t="s">
        <v>45</v>
      </c>
      <c r="C861" s="17">
        <v>2025</v>
      </c>
      <c r="D861" s="17" t="str">
        <f t="array" ref="D861">_xlfn.SWITCH(E861,"Jatikalen","35.18.20","Kertosono", "35.18.08","Lengkong","35.18.19","Loceret","35.18.04","Tanjunganom","35.18.11","Wilangan","35.18.15")</f>
        <v>35.18.11</v>
      </c>
      <c r="E861" s="16" t="s">
        <v>60</v>
      </c>
      <c r="F861" s="33" t="s">
        <v>1943</v>
      </c>
      <c r="G861" s="33" t="s">
        <v>2119</v>
      </c>
      <c r="H861" s="16" t="s">
        <v>31</v>
      </c>
      <c r="I861" s="16">
        <v>5</v>
      </c>
      <c r="J861" s="16">
        <v>0</v>
      </c>
      <c r="K861" s="16">
        <f t="shared" si="15"/>
        <v>5</v>
      </c>
      <c r="L861" s="38">
        <v>15000000</v>
      </c>
      <c r="M861" s="17" t="s">
        <v>1951</v>
      </c>
      <c r="N861" s="67">
        <f>1000*26*12</f>
        <v>312000</v>
      </c>
      <c r="O861" s="16" t="s">
        <v>49</v>
      </c>
      <c r="P861" s="30">
        <v>140400000</v>
      </c>
      <c r="Q861" s="33" t="s">
        <v>286</v>
      </c>
      <c r="R861" s="38">
        <f>15*12</f>
        <v>180</v>
      </c>
      <c r="S861" s="16" t="s">
        <v>2107</v>
      </c>
      <c r="T861" s="30">
        <v>40500000</v>
      </c>
      <c r="U861" s="16" t="s">
        <v>22</v>
      </c>
      <c r="V861" s="20" t="s">
        <v>2108</v>
      </c>
      <c r="W861" s="16"/>
      <c r="X861" s="16"/>
      <c r="Y861" s="16">
        <v>80</v>
      </c>
      <c r="Z861" s="16">
        <v>20</v>
      </c>
      <c r="AA861" s="16">
        <v>0</v>
      </c>
      <c r="AB861" s="16">
        <v>0</v>
      </c>
      <c r="AC861" s="16"/>
      <c r="AD861" s="68"/>
      <c r="AE861" s="23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</row>
    <row r="862" spans="1:84" s="2" customFormat="1" x14ac:dyDescent="0.2">
      <c r="A862" s="17" t="s">
        <v>3921</v>
      </c>
      <c r="B862" s="17" t="s">
        <v>45</v>
      </c>
      <c r="C862" s="17">
        <v>2025</v>
      </c>
      <c r="D862" s="17" t="str">
        <f t="array" ref="D862">_xlfn.SWITCH(E862,"Jatikalen","35.18.20","Kertosono", "35.18.08","Lengkong","35.18.19","Loceret","35.18.04","Tanjunganom","35.18.11","Wilangan","35.18.15")</f>
        <v>35.18.11</v>
      </c>
      <c r="E862" s="16" t="s">
        <v>60</v>
      </c>
      <c r="F862" s="33" t="s">
        <v>1943</v>
      </c>
      <c r="G862" s="33" t="s">
        <v>2120</v>
      </c>
      <c r="H862" s="16" t="s">
        <v>31</v>
      </c>
      <c r="I862" s="16">
        <v>1</v>
      </c>
      <c r="J862" s="16">
        <v>1</v>
      </c>
      <c r="K862" s="16">
        <f t="shared" si="15"/>
        <v>2</v>
      </c>
      <c r="L862" s="38">
        <v>2000000</v>
      </c>
      <c r="M862" s="17" t="s">
        <v>1951</v>
      </c>
      <c r="N862" s="67">
        <f>200*26*12</f>
        <v>62400</v>
      </c>
      <c r="O862" s="16" t="s">
        <v>49</v>
      </c>
      <c r="P862" s="30">
        <v>29328000</v>
      </c>
      <c r="Q862" s="33" t="s">
        <v>286</v>
      </c>
      <c r="R862" s="38">
        <f>3*12</f>
        <v>36</v>
      </c>
      <c r="S862" s="16" t="s">
        <v>2107</v>
      </c>
      <c r="T862" s="30">
        <v>7920000</v>
      </c>
      <c r="U862" s="16" t="s">
        <v>22</v>
      </c>
      <c r="V862" s="20" t="s">
        <v>57</v>
      </c>
      <c r="W862" s="16"/>
      <c r="X862" s="16"/>
      <c r="Y862" s="16">
        <v>50</v>
      </c>
      <c r="Z862" s="16">
        <v>30</v>
      </c>
      <c r="AA862" s="16">
        <v>20</v>
      </c>
      <c r="AB862" s="16">
        <v>0</v>
      </c>
      <c r="AC862" s="16"/>
      <c r="AD862" s="68"/>
      <c r="AE862" s="23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</row>
    <row r="863" spans="1:84" s="2" customFormat="1" x14ac:dyDescent="0.2">
      <c r="A863" s="17" t="s">
        <v>3921</v>
      </c>
      <c r="B863" s="17" t="s">
        <v>45</v>
      </c>
      <c r="C863" s="17">
        <v>2025</v>
      </c>
      <c r="D863" s="17" t="str">
        <f t="array" ref="D863">_xlfn.SWITCH(E863,"Jatikalen","35.18.20","Kertosono", "35.18.08","Lengkong","35.18.19","Loceret","35.18.04","Tanjunganom","35.18.11","Wilangan","35.18.15")</f>
        <v>35.18.11</v>
      </c>
      <c r="E863" s="16" t="s">
        <v>60</v>
      </c>
      <c r="F863" s="33" t="s">
        <v>1943</v>
      </c>
      <c r="G863" s="33" t="s">
        <v>1734</v>
      </c>
      <c r="H863" s="16" t="s">
        <v>31</v>
      </c>
      <c r="I863" s="16">
        <v>1</v>
      </c>
      <c r="J863" s="16">
        <v>1</v>
      </c>
      <c r="K863" s="16">
        <f t="shared" si="15"/>
        <v>2</v>
      </c>
      <c r="L863" s="38">
        <v>6000000</v>
      </c>
      <c r="M863" s="17" t="s">
        <v>1951</v>
      </c>
      <c r="N863" s="67">
        <f>200*12*26</f>
        <v>62400</v>
      </c>
      <c r="O863" s="16" t="s">
        <v>49</v>
      </c>
      <c r="P863" s="30">
        <v>31200000</v>
      </c>
      <c r="Q863" s="33" t="s">
        <v>286</v>
      </c>
      <c r="R863" s="38">
        <f>4*12</f>
        <v>48</v>
      </c>
      <c r="S863" s="16" t="s">
        <v>2107</v>
      </c>
      <c r="T863" s="30">
        <v>9600000</v>
      </c>
      <c r="U863" s="16" t="s">
        <v>22</v>
      </c>
      <c r="V863" s="20" t="s">
        <v>2108</v>
      </c>
      <c r="W863" s="16"/>
      <c r="X863" s="16"/>
      <c r="Y863" s="16">
        <v>75</v>
      </c>
      <c r="Z863" s="16">
        <v>25</v>
      </c>
      <c r="AA863" s="16">
        <v>0</v>
      </c>
      <c r="AB863" s="16">
        <v>0</v>
      </c>
      <c r="AC863" s="16"/>
      <c r="AD863" s="68"/>
      <c r="AE863" s="23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</row>
    <row r="864" spans="1:84" s="2" customFormat="1" x14ac:dyDescent="0.2">
      <c r="A864" s="17" t="s">
        <v>3921</v>
      </c>
      <c r="B864" s="17" t="s">
        <v>45</v>
      </c>
      <c r="C864" s="17">
        <v>2025</v>
      </c>
      <c r="D864" s="17" t="str">
        <f t="array" ref="D864">_xlfn.SWITCH(E864,"Jatikalen","35.18.20","Kertosono", "35.18.08","Lengkong","35.18.19","Loceret","35.18.04","Tanjunganom","35.18.11","Wilangan","35.18.15")</f>
        <v>35.18.11</v>
      </c>
      <c r="E864" s="16" t="s">
        <v>60</v>
      </c>
      <c r="F864" s="33" t="s">
        <v>1943</v>
      </c>
      <c r="G864" s="33" t="s">
        <v>2121</v>
      </c>
      <c r="H864" s="16" t="s">
        <v>31</v>
      </c>
      <c r="I864" s="16">
        <v>1</v>
      </c>
      <c r="J864" s="16">
        <v>1</v>
      </c>
      <c r="K864" s="16">
        <f t="shared" si="15"/>
        <v>2</v>
      </c>
      <c r="L864" s="38">
        <v>2000000</v>
      </c>
      <c r="M864" s="17" t="s">
        <v>1951</v>
      </c>
      <c r="N864" s="67">
        <f>250*12*26</f>
        <v>78000</v>
      </c>
      <c r="O864" s="16" t="s">
        <v>49</v>
      </c>
      <c r="P864" s="30">
        <v>31200000</v>
      </c>
      <c r="Q864" s="33" t="s">
        <v>286</v>
      </c>
      <c r="R864" s="38">
        <f>5*12</f>
        <v>60</v>
      </c>
      <c r="S864" s="16" t="s">
        <v>2107</v>
      </c>
      <c r="T864" s="30">
        <v>12000000</v>
      </c>
      <c r="U864" s="16" t="s">
        <v>22</v>
      </c>
      <c r="V864" s="20" t="s">
        <v>57</v>
      </c>
      <c r="W864" s="16"/>
      <c r="X864" s="16"/>
      <c r="Y864" s="20">
        <v>60</v>
      </c>
      <c r="Z864" s="20">
        <v>40</v>
      </c>
      <c r="AA864" s="20">
        <v>0</v>
      </c>
      <c r="AB864" s="21">
        <v>0</v>
      </c>
      <c r="AC864" s="16"/>
      <c r="AD864" s="68"/>
      <c r="AE864" s="23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</row>
    <row r="865" spans="1:84" s="2" customFormat="1" x14ac:dyDescent="0.2">
      <c r="A865" s="17" t="s">
        <v>3921</v>
      </c>
      <c r="B865" s="17" t="s">
        <v>45</v>
      </c>
      <c r="C865" s="17">
        <v>2025</v>
      </c>
      <c r="D865" s="17" t="str">
        <f t="array" ref="D865">_xlfn.SWITCH(E865,"Jatikalen","35.18.20","Kertosono", "35.18.08","Lengkong","35.18.19","Loceret","35.18.04","Tanjunganom","35.18.11","Wilangan","35.18.15")</f>
        <v>35.18.11</v>
      </c>
      <c r="E865" s="16" t="s">
        <v>60</v>
      </c>
      <c r="F865" s="33" t="s">
        <v>1943</v>
      </c>
      <c r="G865" s="33" t="s">
        <v>2122</v>
      </c>
      <c r="H865" s="16" t="s">
        <v>31</v>
      </c>
      <c r="I865" s="16">
        <v>3</v>
      </c>
      <c r="J865" s="16">
        <v>0</v>
      </c>
      <c r="K865" s="16">
        <f t="shared" si="15"/>
        <v>3</v>
      </c>
      <c r="L865" s="38">
        <v>10000000</v>
      </c>
      <c r="M865" s="17" t="s">
        <v>1951</v>
      </c>
      <c r="N865" s="67">
        <f>750*12*26</f>
        <v>234000</v>
      </c>
      <c r="O865" s="16" t="s">
        <v>49</v>
      </c>
      <c r="P865" s="30">
        <v>131400000</v>
      </c>
      <c r="Q865" s="33" t="s">
        <v>286</v>
      </c>
      <c r="R865" s="38">
        <f>12*12</f>
        <v>144</v>
      </c>
      <c r="S865" s="16" t="s">
        <v>2107</v>
      </c>
      <c r="T865" s="30">
        <v>36000000</v>
      </c>
      <c r="U865" s="16" t="s">
        <v>22</v>
      </c>
      <c r="V865" s="20" t="s">
        <v>57</v>
      </c>
      <c r="W865" s="16"/>
      <c r="X865" s="16"/>
      <c r="Y865" s="20">
        <v>70</v>
      </c>
      <c r="Z865" s="20">
        <v>30</v>
      </c>
      <c r="AA865" s="20">
        <v>0</v>
      </c>
      <c r="AB865" s="21">
        <v>0</v>
      </c>
      <c r="AC865" s="16"/>
      <c r="AD865" s="68"/>
      <c r="AE865" s="23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</row>
    <row r="866" spans="1:84" s="2" customFormat="1" x14ac:dyDescent="0.2">
      <c r="A866" s="17" t="s">
        <v>3921</v>
      </c>
      <c r="B866" s="17" t="s">
        <v>45</v>
      </c>
      <c r="C866" s="17">
        <v>2025</v>
      </c>
      <c r="D866" s="17" t="str">
        <f t="array" ref="D866">_xlfn.SWITCH(E866,"Jatikalen","35.18.20","Kertosono", "35.18.08","Lengkong","35.18.19","Loceret","35.18.04","Tanjunganom","35.18.11","Wilangan","35.18.15")</f>
        <v>35.18.11</v>
      </c>
      <c r="E866" s="16" t="s">
        <v>60</v>
      </c>
      <c r="F866" s="33" t="s">
        <v>1943</v>
      </c>
      <c r="G866" s="33" t="s">
        <v>2123</v>
      </c>
      <c r="H866" s="16" t="s">
        <v>31</v>
      </c>
      <c r="I866" s="16">
        <v>3</v>
      </c>
      <c r="J866" s="16">
        <v>1</v>
      </c>
      <c r="K866" s="16">
        <f t="shared" si="15"/>
        <v>4</v>
      </c>
      <c r="L866" s="38">
        <v>3000000</v>
      </c>
      <c r="M866" s="17" t="s">
        <v>1951</v>
      </c>
      <c r="N866" s="67">
        <f>750*12*13</f>
        <v>117000</v>
      </c>
      <c r="O866" s="16" t="s">
        <v>49</v>
      </c>
      <c r="P866" s="30">
        <v>52650000</v>
      </c>
      <c r="Q866" s="33" t="s">
        <v>286</v>
      </c>
      <c r="R866" s="38">
        <f>7*12</f>
        <v>84</v>
      </c>
      <c r="S866" s="16" t="s">
        <v>2107</v>
      </c>
      <c r="T866" s="30">
        <v>18900000</v>
      </c>
      <c r="U866" s="16" t="s">
        <v>22</v>
      </c>
      <c r="V866" s="20" t="s">
        <v>57</v>
      </c>
      <c r="W866" s="16"/>
      <c r="X866" s="16"/>
      <c r="Y866" s="20">
        <v>65</v>
      </c>
      <c r="Z866" s="20">
        <v>35</v>
      </c>
      <c r="AA866" s="20">
        <v>0</v>
      </c>
      <c r="AB866" s="21">
        <v>0</v>
      </c>
      <c r="AC866" s="16"/>
      <c r="AD866" s="68"/>
      <c r="AE866" s="23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</row>
    <row r="867" spans="1:84" s="2" customFormat="1" x14ac:dyDescent="0.2">
      <c r="A867" s="17" t="s">
        <v>3921</v>
      </c>
      <c r="B867" s="17" t="s">
        <v>45</v>
      </c>
      <c r="C867" s="17">
        <v>2025</v>
      </c>
      <c r="D867" s="17" t="str">
        <f t="array" ref="D867">_xlfn.SWITCH(E867,"Jatikalen","35.18.20","Kertosono", "35.18.08","Lengkong","35.18.19","Loceret","35.18.04","Tanjunganom","35.18.11","Wilangan","35.18.15")</f>
        <v>35.18.11</v>
      </c>
      <c r="E867" s="16" t="s">
        <v>60</v>
      </c>
      <c r="F867" s="33" t="s">
        <v>1943</v>
      </c>
      <c r="G867" s="33" t="s">
        <v>2124</v>
      </c>
      <c r="H867" s="16" t="s">
        <v>31</v>
      </c>
      <c r="I867" s="16">
        <v>1</v>
      </c>
      <c r="J867" s="16">
        <v>0</v>
      </c>
      <c r="K867" s="16">
        <f t="shared" si="15"/>
        <v>1</v>
      </c>
      <c r="L867" s="38">
        <v>5000000</v>
      </c>
      <c r="M867" s="17" t="s">
        <v>1951</v>
      </c>
      <c r="N867" s="67">
        <f>200*12*26</f>
        <v>62400</v>
      </c>
      <c r="O867" s="16" t="s">
        <v>49</v>
      </c>
      <c r="P867" s="30">
        <v>28080000</v>
      </c>
      <c r="Q867" s="33" t="s">
        <v>286</v>
      </c>
      <c r="R867" s="38">
        <f>5*12</f>
        <v>60</v>
      </c>
      <c r="S867" s="16" t="s">
        <v>2107</v>
      </c>
      <c r="T867" s="30">
        <v>13200000</v>
      </c>
      <c r="U867" s="16" t="s">
        <v>22</v>
      </c>
      <c r="V867" s="20" t="s">
        <v>2125</v>
      </c>
      <c r="W867" s="16"/>
      <c r="X867" s="16"/>
      <c r="Y867" s="20">
        <v>70</v>
      </c>
      <c r="Z867" s="20">
        <v>30</v>
      </c>
      <c r="AA867" s="20">
        <v>0</v>
      </c>
      <c r="AB867" s="21">
        <v>0</v>
      </c>
      <c r="AC867" s="16"/>
      <c r="AD867" s="68"/>
      <c r="AE867" s="23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</row>
    <row r="868" spans="1:84" s="2" customFormat="1" x14ac:dyDescent="0.2">
      <c r="A868" s="17" t="s">
        <v>3921</v>
      </c>
      <c r="B868" s="17" t="s">
        <v>45</v>
      </c>
      <c r="C868" s="17">
        <v>2025</v>
      </c>
      <c r="D868" s="17" t="str">
        <f t="array" ref="D868">_xlfn.SWITCH(E868,"Jatikalen","35.18.20","Kertosono", "35.18.08","Lengkong","35.18.19","Loceret","35.18.04","Tanjunganom","35.18.11","Wilangan","35.18.15")</f>
        <v>35.18.11</v>
      </c>
      <c r="E868" s="16" t="s">
        <v>60</v>
      </c>
      <c r="F868" s="33" t="s">
        <v>1943</v>
      </c>
      <c r="G868" s="33" t="s">
        <v>2126</v>
      </c>
      <c r="H868" s="16" t="s">
        <v>31</v>
      </c>
      <c r="I868" s="16">
        <v>2</v>
      </c>
      <c r="J868" s="16">
        <v>0</v>
      </c>
      <c r="K868" s="16">
        <f t="shared" si="15"/>
        <v>2</v>
      </c>
      <c r="L868" s="38">
        <v>5000000</v>
      </c>
      <c r="M868" s="17" t="s">
        <v>1951</v>
      </c>
      <c r="N868" s="67">
        <f>500*12*26</f>
        <v>156000</v>
      </c>
      <c r="O868" s="16" t="s">
        <v>49</v>
      </c>
      <c r="P868" s="30">
        <v>70200000</v>
      </c>
      <c r="Q868" s="33" t="s">
        <v>286</v>
      </c>
      <c r="R868" s="38">
        <f>10*12</f>
        <v>120</v>
      </c>
      <c r="S868" s="16" t="s">
        <v>2107</v>
      </c>
      <c r="T868" s="30">
        <v>30600000</v>
      </c>
      <c r="U868" s="16" t="s">
        <v>22</v>
      </c>
      <c r="V868" s="20" t="s">
        <v>2108</v>
      </c>
      <c r="W868" s="16"/>
      <c r="X868" s="16"/>
      <c r="Y868" s="20">
        <v>50</v>
      </c>
      <c r="Z868" s="20">
        <v>35</v>
      </c>
      <c r="AA868" s="20">
        <v>15</v>
      </c>
      <c r="AB868" s="21">
        <v>0</v>
      </c>
      <c r="AC868" s="16"/>
      <c r="AD868" s="68"/>
      <c r="AE868" s="23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</row>
    <row r="869" spans="1:84" s="2" customFormat="1" x14ac:dyDescent="0.2">
      <c r="A869" s="17" t="s">
        <v>3921</v>
      </c>
      <c r="B869" s="17" t="s">
        <v>45</v>
      </c>
      <c r="C869" s="17">
        <v>2025</v>
      </c>
      <c r="D869" s="17" t="str">
        <f t="array" ref="D869">_xlfn.SWITCH(E869,"Jatikalen","35.18.20","Kertosono", "35.18.08","Lengkong","35.18.19","Loceret","35.18.04","Tanjunganom","35.18.11","Wilangan","35.18.15")</f>
        <v>35.18.11</v>
      </c>
      <c r="E869" s="16" t="s">
        <v>60</v>
      </c>
      <c r="F869" s="33" t="s">
        <v>1943</v>
      </c>
      <c r="G869" s="33" t="s">
        <v>2127</v>
      </c>
      <c r="H869" s="16" t="s">
        <v>31</v>
      </c>
      <c r="I869" s="16">
        <v>1</v>
      </c>
      <c r="J869" s="16">
        <v>1</v>
      </c>
      <c r="K869" s="16">
        <f t="shared" si="15"/>
        <v>2</v>
      </c>
      <c r="L869" s="38">
        <v>2000000</v>
      </c>
      <c r="M869" s="17" t="s">
        <v>1951</v>
      </c>
      <c r="N869" s="67">
        <f>350*12*26</f>
        <v>109200</v>
      </c>
      <c r="O869" s="16" t="s">
        <v>49</v>
      </c>
      <c r="P869" s="30">
        <v>49140000</v>
      </c>
      <c r="Q869" s="33" t="s">
        <v>286</v>
      </c>
      <c r="R869" s="38">
        <f>4*12</f>
        <v>48</v>
      </c>
      <c r="S869" s="16" t="s">
        <v>2107</v>
      </c>
      <c r="T869" s="30">
        <v>10800000</v>
      </c>
      <c r="U869" s="16" t="s">
        <v>22</v>
      </c>
      <c r="V869" s="20" t="s">
        <v>57</v>
      </c>
      <c r="W869" s="16"/>
      <c r="X869" s="16"/>
      <c r="Y869" s="20">
        <v>70</v>
      </c>
      <c r="Z869" s="20">
        <v>30</v>
      </c>
      <c r="AA869" s="20">
        <v>0</v>
      </c>
      <c r="AB869" s="21">
        <v>0</v>
      </c>
      <c r="AC869" s="16"/>
      <c r="AD869" s="68"/>
      <c r="AE869" s="23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</row>
    <row r="870" spans="1:84" s="2" customFormat="1" x14ac:dyDescent="0.2">
      <c r="A870" s="17" t="s">
        <v>3921</v>
      </c>
      <c r="B870" s="17" t="s">
        <v>45</v>
      </c>
      <c r="C870" s="17">
        <v>2025</v>
      </c>
      <c r="D870" s="17" t="str">
        <f t="array" ref="D870">_xlfn.SWITCH(E870,"Jatikalen","35.18.20","Kertosono", "35.18.08","Lengkong","35.18.19","Loceret","35.18.04","Tanjunganom","35.18.11","Wilangan","35.18.15")</f>
        <v>35.18.11</v>
      </c>
      <c r="E870" s="16" t="s">
        <v>60</v>
      </c>
      <c r="F870" s="33" t="s">
        <v>1943</v>
      </c>
      <c r="G870" s="33" t="s">
        <v>2128</v>
      </c>
      <c r="H870" s="16" t="s">
        <v>31</v>
      </c>
      <c r="I870" s="16">
        <v>1</v>
      </c>
      <c r="J870" s="16">
        <v>0</v>
      </c>
      <c r="K870" s="16">
        <f t="shared" si="15"/>
        <v>1</v>
      </c>
      <c r="L870" s="38">
        <v>5000000</v>
      </c>
      <c r="M870" s="17" t="s">
        <v>1951</v>
      </c>
      <c r="N870" s="67">
        <f>350*12*26</f>
        <v>109200</v>
      </c>
      <c r="O870" s="16" t="s">
        <v>49</v>
      </c>
      <c r="P870" s="30">
        <v>51324000</v>
      </c>
      <c r="Q870" s="33" t="s">
        <v>286</v>
      </c>
      <c r="R870" s="38">
        <v>120</v>
      </c>
      <c r="S870" s="16" t="s">
        <v>2107</v>
      </c>
      <c r="T870" s="30">
        <v>24000000</v>
      </c>
      <c r="U870" s="16" t="s">
        <v>22</v>
      </c>
      <c r="V870" s="20"/>
      <c r="W870" s="16"/>
      <c r="X870" s="16"/>
      <c r="Y870" s="20">
        <v>65</v>
      </c>
      <c r="Z870" s="20">
        <v>35</v>
      </c>
      <c r="AA870" s="20">
        <v>0</v>
      </c>
      <c r="AB870" s="21">
        <v>0</v>
      </c>
      <c r="AC870" s="16"/>
      <c r="AD870" s="68"/>
      <c r="AE870" s="23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</row>
    <row r="871" spans="1:84" s="2" customFormat="1" x14ac:dyDescent="0.2">
      <c r="A871" s="17" t="s">
        <v>3921</v>
      </c>
      <c r="B871" s="17" t="s">
        <v>45</v>
      </c>
      <c r="C871" s="17">
        <v>2025</v>
      </c>
      <c r="D871" s="17" t="str">
        <f t="array" ref="D871">_xlfn.SWITCH(E871,"Jatikalen","35.18.20","Kertosono", "35.18.08","Lengkong","35.18.19","Loceret","35.18.04","Tanjunganom","35.18.11","Wilangan","35.18.15")</f>
        <v>35.18.11</v>
      </c>
      <c r="E871" s="16" t="s">
        <v>60</v>
      </c>
      <c r="F871" s="33" t="s">
        <v>1943</v>
      </c>
      <c r="G871" s="33" t="s">
        <v>2129</v>
      </c>
      <c r="H871" s="16" t="s">
        <v>31</v>
      </c>
      <c r="I871" s="16">
        <v>1</v>
      </c>
      <c r="J871" s="16">
        <v>1</v>
      </c>
      <c r="K871" s="16">
        <f t="shared" si="15"/>
        <v>2</v>
      </c>
      <c r="L871" s="38">
        <v>4000000</v>
      </c>
      <c r="M871" s="17" t="s">
        <v>1951</v>
      </c>
      <c r="N871" s="67">
        <f>1000*12*26</f>
        <v>312000</v>
      </c>
      <c r="O871" s="16" t="s">
        <v>49</v>
      </c>
      <c r="P871" s="30">
        <v>146640000</v>
      </c>
      <c r="Q871" s="33" t="s">
        <v>286</v>
      </c>
      <c r="R871" s="38">
        <f>35*12</f>
        <v>420</v>
      </c>
      <c r="S871" s="16" t="s">
        <v>2107</v>
      </c>
      <c r="T871" s="30">
        <v>84000000</v>
      </c>
      <c r="U871" s="16" t="s">
        <v>22</v>
      </c>
      <c r="V871" s="20" t="s">
        <v>2125</v>
      </c>
      <c r="W871" s="16"/>
      <c r="X871" s="16"/>
      <c r="Y871" s="20">
        <v>70</v>
      </c>
      <c r="Z871" s="20">
        <v>30</v>
      </c>
      <c r="AA871" s="20">
        <v>0</v>
      </c>
      <c r="AB871" s="21">
        <v>0</v>
      </c>
      <c r="AC871" s="16"/>
      <c r="AD871" s="68"/>
      <c r="AE871" s="23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</row>
    <row r="872" spans="1:84" s="2" customFormat="1" x14ac:dyDescent="0.2">
      <c r="A872" s="17" t="s">
        <v>3921</v>
      </c>
      <c r="B872" s="17" t="s">
        <v>45</v>
      </c>
      <c r="C872" s="17">
        <v>2025</v>
      </c>
      <c r="D872" s="17" t="str">
        <f t="array" ref="D872">_xlfn.SWITCH(E872,"Jatikalen","35.18.20","Kertosono", "35.18.08","Lengkong","35.18.19","Loceret","35.18.04","Tanjunganom","35.18.11","Wilangan","35.18.15")</f>
        <v>35.18.11</v>
      </c>
      <c r="E872" s="16" t="s">
        <v>60</v>
      </c>
      <c r="F872" s="33" t="s">
        <v>1943</v>
      </c>
      <c r="G872" s="33" t="s">
        <v>2130</v>
      </c>
      <c r="H872" s="16" t="s">
        <v>31</v>
      </c>
      <c r="I872" s="16">
        <v>1</v>
      </c>
      <c r="J872" s="16">
        <v>0</v>
      </c>
      <c r="K872" s="16">
        <f t="shared" si="15"/>
        <v>1</v>
      </c>
      <c r="L872" s="38">
        <v>6000000</v>
      </c>
      <c r="M872" s="17" t="s">
        <v>1951</v>
      </c>
      <c r="N872" s="67">
        <f>600*12*26</f>
        <v>187200</v>
      </c>
      <c r="O872" s="16" t="s">
        <v>49</v>
      </c>
      <c r="P872" s="30">
        <v>84240000</v>
      </c>
      <c r="Q872" s="33" t="s">
        <v>286</v>
      </c>
      <c r="R872" s="38">
        <f>7*12</f>
        <v>84</v>
      </c>
      <c r="S872" s="16" t="s">
        <v>2107</v>
      </c>
      <c r="T872" s="30">
        <v>18900000</v>
      </c>
      <c r="U872" s="16" t="s">
        <v>22</v>
      </c>
      <c r="V872" s="20"/>
      <c r="W872" s="16"/>
      <c r="X872" s="16"/>
      <c r="Y872" s="20">
        <v>60</v>
      </c>
      <c r="Z872" s="20">
        <v>40</v>
      </c>
      <c r="AA872" s="20">
        <v>0</v>
      </c>
      <c r="AB872" s="21">
        <v>0</v>
      </c>
      <c r="AC872" s="16"/>
      <c r="AD872" s="68"/>
      <c r="AE872" s="23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</row>
    <row r="873" spans="1:84" s="2" customFormat="1" x14ac:dyDescent="0.2">
      <c r="A873" s="17" t="s">
        <v>3921</v>
      </c>
      <c r="B873" s="17" t="s">
        <v>45</v>
      </c>
      <c r="C873" s="17">
        <v>2025</v>
      </c>
      <c r="D873" s="17" t="str">
        <f t="array" ref="D873">_xlfn.SWITCH(E873,"Jatikalen","35.18.20","Kertosono", "35.18.08","Lengkong","35.18.19","Loceret","35.18.04","Tanjunganom","35.18.11","Wilangan","35.18.15")</f>
        <v>35.18.11</v>
      </c>
      <c r="E873" s="16" t="s">
        <v>60</v>
      </c>
      <c r="F873" s="33" t="s">
        <v>1943</v>
      </c>
      <c r="G873" s="33" t="s">
        <v>2131</v>
      </c>
      <c r="H873" s="16" t="s">
        <v>31</v>
      </c>
      <c r="I873" s="16">
        <v>1</v>
      </c>
      <c r="J873" s="16">
        <v>0</v>
      </c>
      <c r="K873" s="16">
        <f t="shared" si="15"/>
        <v>1</v>
      </c>
      <c r="L873" s="38">
        <v>3000000</v>
      </c>
      <c r="M873" s="17" t="s">
        <v>1951</v>
      </c>
      <c r="N873" s="67">
        <f>350*12*26</f>
        <v>109200</v>
      </c>
      <c r="O873" s="16" t="s">
        <v>49</v>
      </c>
      <c r="P873" s="30">
        <v>49140000</v>
      </c>
      <c r="Q873" s="33" t="s">
        <v>286</v>
      </c>
      <c r="R873" s="38">
        <f>6*12</f>
        <v>72</v>
      </c>
      <c r="S873" s="16" t="s">
        <v>2107</v>
      </c>
      <c r="T873" s="30">
        <v>15840000</v>
      </c>
      <c r="U873" s="16" t="s">
        <v>22</v>
      </c>
      <c r="V873" s="20"/>
      <c r="W873" s="16"/>
      <c r="X873" s="16"/>
      <c r="Y873" s="20">
        <v>60</v>
      </c>
      <c r="Z873" s="20">
        <v>40</v>
      </c>
      <c r="AA873" s="20">
        <v>0</v>
      </c>
      <c r="AB873" s="21">
        <v>0</v>
      </c>
      <c r="AC873" s="16"/>
      <c r="AD873" s="68"/>
      <c r="AE873" s="23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</row>
    <row r="874" spans="1:84" s="2" customFormat="1" x14ac:dyDescent="0.2">
      <c r="A874" s="17" t="s">
        <v>3921</v>
      </c>
      <c r="B874" s="17" t="s">
        <v>45</v>
      </c>
      <c r="C874" s="17">
        <v>2025</v>
      </c>
      <c r="D874" s="17" t="str">
        <f t="array" ref="D874">_xlfn.SWITCH(E874,"Jatikalen","35.18.20","Kertosono", "35.18.08","Lengkong","35.18.19","Loceret","35.18.04","Tanjunganom","35.18.11","Wilangan","35.18.15")</f>
        <v>35.18.11</v>
      </c>
      <c r="E874" s="16" t="s">
        <v>60</v>
      </c>
      <c r="F874" s="33" t="s">
        <v>1943</v>
      </c>
      <c r="G874" s="33" t="s">
        <v>1497</v>
      </c>
      <c r="H874" s="16" t="s">
        <v>31</v>
      </c>
      <c r="I874" s="16">
        <v>2</v>
      </c>
      <c r="J874" s="16">
        <v>1</v>
      </c>
      <c r="K874" s="16">
        <f t="shared" si="15"/>
        <v>3</v>
      </c>
      <c r="L874" s="38">
        <v>1000000</v>
      </c>
      <c r="M874" s="17" t="s">
        <v>1951</v>
      </c>
      <c r="N874" s="67">
        <f>500*12*26</f>
        <v>156000</v>
      </c>
      <c r="O874" s="16" t="s">
        <v>49</v>
      </c>
      <c r="P874" s="30">
        <v>62400000</v>
      </c>
      <c r="Q874" s="33" t="s">
        <v>286</v>
      </c>
      <c r="R874" s="38">
        <f>7*12</f>
        <v>84</v>
      </c>
      <c r="S874" s="16" t="s">
        <v>2107</v>
      </c>
      <c r="T874" s="30">
        <v>16800000</v>
      </c>
      <c r="U874" s="16" t="s">
        <v>22</v>
      </c>
      <c r="V874" s="20"/>
      <c r="W874" s="16"/>
      <c r="X874" s="16"/>
      <c r="Y874" s="20">
        <v>70</v>
      </c>
      <c r="Z874" s="20">
        <v>30</v>
      </c>
      <c r="AA874" s="20">
        <v>0</v>
      </c>
      <c r="AB874" s="21">
        <v>0</v>
      </c>
      <c r="AC874" s="16"/>
      <c r="AD874" s="68"/>
      <c r="AE874" s="23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</row>
    <row r="875" spans="1:84" s="2" customFormat="1" x14ac:dyDescent="0.2">
      <c r="A875" s="17" t="s">
        <v>3921</v>
      </c>
      <c r="B875" s="17" t="s">
        <v>45</v>
      </c>
      <c r="C875" s="17">
        <v>2025</v>
      </c>
      <c r="D875" s="17" t="str">
        <f t="array" ref="D875">_xlfn.SWITCH(E875,"Jatikalen","35.18.20","Kertosono", "35.18.08","Lengkong","35.18.19","Loceret","35.18.04","Tanjunganom","35.18.11","Wilangan","35.18.15")</f>
        <v>35.18.11</v>
      </c>
      <c r="E875" s="16" t="s">
        <v>60</v>
      </c>
      <c r="F875" s="33" t="s">
        <v>1943</v>
      </c>
      <c r="G875" s="33" t="s">
        <v>2132</v>
      </c>
      <c r="H875" s="16" t="s">
        <v>31</v>
      </c>
      <c r="I875" s="16">
        <v>1</v>
      </c>
      <c r="J875" s="16">
        <v>0</v>
      </c>
      <c r="K875" s="16">
        <f t="shared" si="15"/>
        <v>1</v>
      </c>
      <c r="L875" s="38">
        <v>5000000</v>
      </c>
      <c r="M875" s="17" t="s">
        <v>1951</v>
      </c>
      <c r="N875" s="67">
        <f>500*12*26</f>
        <v>156000</v>
      </c>
      <c r="O875" s="16" t="s">
        <v>49</v>
      </c>
      <c r="P875" s="30">
        <v>78000000</v>
      </c>
      <c r="Q875" s="33" t="s">
        <v>286</v>
      </c>
      <c r="R875" s="38">
        <v>120</v>
      </c>
      <c r="S875" s="16" t="s">
        <v>2107</v>
      </c>
      <c r="T875" s="30">
        <v>24000000</v>
      </c>
      <c r="U875" s="16" t="s">
        <v>22</v>
      </c>
      <c r="V875" s="20" t="s">
        <v>2005</v>
      </c>
      <c r="W875" s="16"/>
      <c r="X875" s="16"/>
      <c r="Y875" s="20">
        <v>45</v>
      </c>
      <c r="Z875" s="20">
        <v>35</v>
      </c>
      <c r="AA875" s="20">
        <v>20</v>
      </c>
      <c r="AB875" s="21">
        <v>0</v>
      </c>
      <c r="AC875" s="16"/>
      <c r="AD875" s="68"/>
      <c r="AE875" s="23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</row>
    <row r="876" spans="1:84" s="2" customFormat="1" x14ac:dyDescent="0.2">
      <c r="A876" s="17" t="s">
        <v>3921</v>
      </c>
      <c r="B876" s="17" t="s">
        <v>45</v>
      </c>
      <c r="C876" s="17">
        <v>2025</v>
      </c>
      <c r="D876" s="17" t="str">
        <f t="array" ref="D876">_xlfn.SWITCH(E876,"Jatikalen","35.18.20","Kertosono", "35.18.08","Lengkong","35.18.19","Loceret","35.18.04","Tanjunganom","35.18.11","Wilangan","35.18.15")</f>
        <v>35.18.11</v>
      </c>
      <c r="E876" s="16" t="s">
        <v>60</v>
      </c>
      <c r="F876" s="33" t="s">
        <v>1943</v>
      </c>
      <c r="G876" s="33" t="s">
        <v>2133</v>
      </c>
      <c r="H876" s="16" t="s">
        <v>31</v>
      </c>
      <c r="I876" s="16">
        <v>2</v>
      </c>
      <c r="J876" s="16">
        <v>1</v>
      </c>
      <c r="K876" s="16">
        <f t="shared" si="15"/>
        <v>3</v>
      </c>
      <c r="L876" s="38">
        <v>2600000</v>
      </c>
      <c r="M876" s="17" t="s">
        <v>1951</v>
      </c>
      <c r="N876" s="67">
        <f>350*12*26</f>
        <v>109200</v>
      </c>
      <c r="O876" s="16" t="s">
        <v>49</v>
      </c>
      <c r="P876" s="30">
        <v>56784000</v>
      </c>
      <c r="Q876" s="33" t="s">
        <v>286</v>
      </c>
      <c r="R876" s="38">
        <v>120</v>
      </c>
      <c r="S876" s="16" t="s">
        <v>2107</v>
      </c>
      <c r="T876" s="30">
        <v>24000000</v>
      </c>
      <c r="U876" s="16" t="s">
        <v>22</v>
      </c>
      <c r="V876" s="20" t="s">
        <v>2005</v>
      </c>
      <c r="W876" s="16"/>
      <c r="X876" s="16"/>
      <c r="Y876" s="20">
        <v>55</v>
      </c>
      <c r="Z876" s="20">
        <v>45</v>
      </c>
      <c r="AA876" s="20">
        <v>0</v>
      </c>
      <c r="AB876" s="21">
        <v>0</v>
      </c>
      <c r="AC876" s="16"/>
      <c r="AD876" s="68"/>
      <c r="AE876" s="23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</row>
    <row r="877" spans="1:84" s="2" customFormat="1" x14ac:dyDescent="0.2">
      <c r="A877" s="17" t="s">
        <v>3921</v>
      </c>
      <c r="B877" s="17" t="s">
        <v>45</v>
      </c>
      <c r="C877" s="17">
        <v>2025</v>
      </c>
      <c r="D877" s="17" t="str">
        <f t="array" ref="D877">_xlfn.SWITCH(E877,"Jatikalen","35.18.20","Kertosono", "35.18.08","Lengkong","35.18.19","Loceret","35.18.04","Tanjunganom","35.18.11","Wilangan","35.18.15")</f>
        <v>35.18.11</v>
      </c>
      <c r="E877" s="16" t="s">
        <v>60</v>
      </c>
      <c r="F877" s="33" t="s">
        <v>1943</v>
      </c>
      <c r="G877" s="33" t="s">
        <v>2134</v>
      </c>
      <c r="H877" s="16" t="s">
        <v>31</v>
      </c>
      <c r="I877" s="16">
        <v>0</v>
      </c>
      <c r="J877" s="16">
        <v>1</v>
      </c>
      <c r="K877" s="16">
        <f t="shared" si="15"/>
        <v>1</v>
      </c>
      <c r="L877" s="38">
        <v>1000000</v>
      </c>
      <c r="M877" s="17" t="s">
        <v>1951</v>
      </c>
      <c r="N877" s="67">
        <f>400*12*10</f>
        <v>48000</v>
      </c>
      <c r="O877" s="16" t="s">
        <v>49</v>
      </c>
      <c r="P877" s="30">
        <v>20640000</v>
      </c>
      <c r="Q877" s="33" t="s">
        <v>286</v>
      </c>
      <c r="R877" s="38">
        <f>3*12</f>
        <v>36</v>
      </c>
      <c r="S877" s="16" t="s">
        <v>2107</v>
      </c>
      <c r="T877" s="30">
        <v>7380000</v>
      </c>
      <c r="U877" s="16" t="s">
        <v>22</v>
      </c>
      <c r="V877" s="20" t="s">
        <v>57</v>
      </c>
      <c r="W877" s="16"/>
      <c r="X877" s="16"/>
      <c r="Y877" s="20">
        <v>60</v>
      </c>
      <c r="Z877" s="20">
        <v>40</v>
      </c>
      <c r="AA877" s="20">
        <v>0</v>
      </c>
      <c r="AB877" s="21">
        <v>0</v>
      </c>
      <c r="AC877" s="16"/>
      <c r="AD877" s="68"/>
      <c r="AE877" s="23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</row>
    <row r="878" spans="1:84" s="2" customFormat="1" x14ac:dyDescent="0.2">
      <c r="A878" s="17" t="s">
        <v>3921</v>
      </c>
      <c r="B878" s="17" t="s">
        <v>45</v>
      </c>
      <c r="C878" s="17">
        <v>2025</v>
      </c>
      <c r="D878" s="17" t="str">
        <f t="array" ref="D878">_xlfn.SWITCH(E878,"Jatikalen","35.18.20","Kertosono", "35.18.08","Lengkong","35.18.19","Loceret","35.18.04","Tanjunganom","35.18.11","Wilangan","35.18.15")</f>
        <v>35.18.11</v>
      </c>
      <c r="E878" s="16" t="s">
        <v>60</v>
      </c>
      <c r="F878" s="33" t="s">
        <v>1943</v>
      </c>
      <c r="G878" s="33" t="s">
        <v>2135</v>
      </c>
      <c r="H878" s="16" t="s">
        <v>31</v>
      </c>
      <c r="I878" s="16">
        <v>1</v>
      </c>
      <c r="J878" s="16">
        <v>1</v>
      </c>
      <c r="K878" s="16">
        <f t="shared" si="15"/>
        <v>2</v>
      </c>
      <c r="L878" s="38">
        <v>1500000</v>
      </c>
      <c r="M878" s="17" t="s">
        <v>1951</v>
      </c>
      <c r="N878" s="67">
        <f>350*12*26</f>
        <v>109200</v>
      </c>
      <c r="O878" s="16" t="s">
        <v>49</v>
      </c>
      <c r="P878" s="30">
        <v>43680000</v>
      </c>
      <c r="Q878" s="33" t="s">
        <v>286</v>
      </c>
      <c r="R878" s="38">
        <f>5*12</f>
        <v>60</v>
      </c>
      <c r="S878" s="16" t="s">
        <v>2107</v>
      </c>
      <c r="T878" s="30">
        <v>13500000</v>
      </c>
      <c r="U878" s="16" t="s">
        <v>22</v>
      </c>
      <c r="V878" s="20" t="s">
        <v>57</v>
      </c>
      <c r="W878" s="16"/>
      <c r="X878" s="16"/>
      <c r="Y878" s="20">
        <v>50</v>
      </c>
      <c r="Z878" s="20">
        <v>30</v>
      </c>
      <c r="AA878" s="20">
        <v>20</v>
      </c>
      <c r="AB878" s="21">
        <v>0</v>
      </c>
      <c r="AC878" s="16"/>
      <c r="AD878" s="68"/>
      <c r="AE878" s="23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</row>
    <row r="879" spans="1:84" s="2" customFormat="1" x14ac:dyDescent="0.2">
      <c r="A879" s="17" t="s">
        <v>3921</v>
      </c>
      <c r="B879" s="17" t="s">
        <v>45</v>
      </c>
      <c r="C879" s="17">
        <v>2025</v>
      </c>
      <c r="D879" s="17" t="str">
        <f t="array" ref="D879">_xlfn.SWITCH(E879,"Jatikalen","35.18.20","Kertosono", "35.18.08","Lengkong","35.18.19","Loceret","35.18.04","Tanjunganom","35.18.11","Wilangan","35.18.15")</f>
        <v>35.18.11</v>
      </c>
      <c r="E879" s="16" t="s">
        <v>60</v>
      </c>
      <c r="F879" s="33" t="s">
        <v>1943</v>
      </c>
      <c r="G879" s="33" t="s">
        <v>1749</v>
      </c>
      <c r="H879" s="16" t="s">
        <v>31</v>
      </c>
      <c r="I879" s="16">
        <v>2</v>
      </c>
      <c r="J879" s="16">
        <v>0</v>
      </c>
      <c r="K879" s="16">
        <f t="shared" si="15"/>
        <v>2</v>
      </c>
      <c r="L879" s="38">
        <v>2500000</v>
      </c>
      <c r="M879" s="17" t="s">
        <v>1951</v>
      </c>
      <c r="N879" s="67">
        <f>500*12*26</f>
        <v>156000</v>
      </c>
      <c r="O879" s="16" t="s">
        <v>49</v>
      </c>
      <c r="P879" s="30">
        <v>65520000</v>
      </c>
      <c r="Q879" s="33" t="s">
        <v>286</v>
      </c>
      <c r="R879" s="38">
        <f>11*12</f>
        <v>132</v>
      </c>
      <c r="S879" s="16" t="s">
        <v>2107</v>
      </c>
      <c r="T879" s="30">
        <v>26400000</v>
      </c>
      <c r="U879" s="16" t="s">
        <v>22</v>
      </c>
      <c r="V879" s="20" t="s">
        <v>57</v>
      </c>
      <c r="W879" s="16"/>
      <c r="X879" s="16"/>
      <c r="Y879" s="20">
        <v>75</v>
      </c>
      <c r="Z879" s="20">
        <v>25</v>
      </c>
      <c r="AA879" s="20">
        <v>0</v>
      </c>
      <c r="AB879" s="21">
        <v>0</v>
      </c>
      <c r="AC879" s="16"/>
      <c r="AD879" s="68"/>
      <c r="AE879" s="23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</row>
    <row r="880" spans="1:84" s="2" customFormat="1" x14ac:dyDescent="0.2">
      <c r="A880" s="17" t="s">
        <v>3921</v>
      </c>
      <c r="B880" s="17" t="s">
        <v>45</v>
      </c>
      <c r="C880" s="17">
        <v>2025</v>
      </c>
      <c r="D880" s="17" t="str">
        <f t="array" ref="D880">_xlfn.SWITCH(E880,"Jatikalen","35.18.20","Kertosono", "35.18.08","Lengkong","35.18.19","Loceret","35.18.04","Tanjunganom","35.18.11","Wilangan","35.18.15")</f>
        <v>35.18.11</v>
      </c>
      <c r="E880" s="16" t="s">
        <v>60</v>
      </c>
      <c r="F880" s="33" t="s">
        <v>1943</v>
      </c>
      <c r="G880" s="33" t="s">
        <v>2136</v>
      </c>
      <c r="H880" s="16" t="s">
        <v>31</v>
      </c>
      <c r="I880" s="16">
        <v>2</v>
      </c>
      <c r="J880" s="16">
        <v>0</v>
      </c>
      <c r="K880" s="16">
        <f t="shared" si="15"/>
        <v>2</v>
      </c>
      <c r="L880" s="38">
        <v>1000000</v>
      </c>
      <c r="M880" s="17" t="s">
        <v>1951</v>
      </c>
      <c r="N880" s="67">
        <f>500*26*12</f>
        <v>156000</v>
      </c>
      <c r="O880" s="16" t="s">
        <v>49</v>
      </c>
      <c r="P880" s="30">
        <v>54600000</v>
      </c>
      <c r="Q880" s="33" t="s">
        <v>286</v>
      </c>
      <c r="R880" s="38">
        <f>8*12</f>
        <v>96</v>
      </c>
      <c r="S880" s="16" t="s">
        <v>2107</v>
      </c>
      <c r="T880" s="30">
        <v>24000000</v>
      </c>
      <c r="U880" s="16" t="s">
        <v>22</v>
      </c>
      <c r="V880" s="20" t="s">
        <v>57</v>
      </c>
      <c r="W880" s="16"/>
      <c r="X880" s="16"/>
      <c r="Y880" s="16">
        <v>60</v>
      </c>
      <c r="Z880" s="16">
        <v>40</v>
      </c>
      <c r="AA880" s="16">
        <v>0</v>
      </c>
      <c r="AB880" s="16">
        <v>0</v>
      </c>
      <c r="AC880" s="16"/>
      <c r="AD880" s="68"/>
      <c r="AE880" s="23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</row>
    <row r="881" spans="1:84" s="2" customFormat="1" x14ac:dyDescent="0.2">
      <c r="A881" s="17" t="s">
        <v>3921</v>
      </c>
      <c r="B881" s="17" t="s">
        <v>45</v>
      </c>
      <c r="C881" s="17">
        <v>2025</v>
      </c>
      <c r="D881" s="17" t="str">
        <f t="array" ref="D881">_xlfn.SWITCH(E881,"Jatikalen","35.18.20","Kertosono", "35.18.08","Lengkong","35.18.19","Loceret","35.18.04","Tanjunganom","35.18.11","Wilangan","35.18.15")</f>
        <v>35.18.11</v>
      </c>
      <c r="E881" s="16" t="s">
        <v>60</v>
      </c>
      <c r="F881" s="33" t="s">
        <v>1943</v>
      </c>
      <c r="G881" s="33" t="s">
        <v>1783</v>
      </c>
      <c r="H881" s="16" t="s">
        <v>31</v>
      </c>
      <c r="I881" s="16">
        <v>1</v>
      </c>
      <c r="J881" s="16">
        <v>1</v>
      </c>
      <c r="K881" s="16">
        <f t="shared" si="15"/>
        <v>2</v>
      </c>
      <c r="L881" s="38">
        <v>2000000</v>
      </c>
      <c r="M881" s="17" t="s">
        <v>1951</v>
      </c>
      <c r="N881" s="67">
        <f>300*26*12</f>
        <v>93600</v>
      </c>
      <c r="O881" s="16" t="s">
        <v>49</v>
      </c>
      <c r="P881" s="30">
        <v>14976000</v>
      </c>
      <c r="Q881" s="33" t="s">
        <v>286</v>
      </c>
      <c r="R881" s="38">
        <f>3*12</f>
        <v>36</v>
      </c>
      <c r="S881" s="16" t="s">
        <v>2107</v>
      </c>
      <c r="T881" s="30">
        <v>8100000</v>
      </c>
      <c r="U881" s="16" t="s">
        <v>22</v>
      </c>
      <c r="V881" s="20"/>
      <c r="W881" s="16"/>
      <c r="X881" s="16"/>
      <c r="Y881" s="16">
        <v>100</v>
      </c>
      <c r="Z881" s="16">
        <v>0</v>
      </c>
      <c r="AA881" s="16">
        <v>0</v>
      </c>
      <c r="AB881" s="16">
        <v>0</v>
      </c>
      <c r="AC881" s="16"/>
      <c r="AD881" s="68"/>
      <c r="AE881" s="23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</row>
    <row r="882" spans="1:84" s="2" customFormat="1" x14ac:dyDescent="0.2">
      <c r="A882" s="17" t="s">
        <v>3921</v>
      </c>
      <c r="B882" s="17" t="s">
        <v>45</v>
      </c>
      <c r="C882" s="17">
        <v>2025</v>
      </c>
      <c r="D882" s="17" t="str">
        <f t="array" ref="D882">_xlfn.SWITCH(E882,"Jatikalen","35.18.20","Kertosono", "35.18.08","Lengkong","35.18.19","Loceret","35.18.04","Tanjunganom","35.18.11","Wilangan","35.18.15")</f>
        <v>35.18.11</v>
      </c>
      <c r="E882" s="16" t="s">
        <v>60</v>
      </c>
      <c r="F882" s="33" t="s">
        <v>1943</v>
      </c>
      <c r="G882" s="33" t="s">
        <v>2021</v>
      </c>
      <c r="H882" s="16" t="s">
        <v>31</v>
      </c>
      <c r="I882" s="16">
        <v>1</v>
      </c>
      <c r="J882" s="16">
        <v>0</v>
      </c>
      <c r="K882" s="16">
        <f t="shared" si="15"/>
        <v>1</v>
      </c>
      <c r="L882" s="38">
        <v>3000000</v>
      </c>
      <c r="M882" s="17" t="s">
        <v>1951</v>
      </c>
      <c r="N882" s="67">
        <f>500*26*12</f>
        <v>156000</v>
      </c>
      <c r="O882" s="16" t="s">
        <v>49</v>
      </c>
      <c r="P882" s="30">
        <v>65520000</v>
      </c>
      <c r="Q882" s="33" t="s">
        <v>286</v>
      </c>
      <c r="R882" s="38">
        <f>11*12</f>
        <v>132</v>
      </c>
      <c r="S882" s="16" t="s">
        <v>2107</v>
      </c>
      <c r="T882" s="30">
        <v>26400000</v>
      </c>
      <c r="U882" s="16" t="s">
        <v>22</v>
      </c>
      <c r="V882" s="20" t="s">
        <v>2005</v>
      </c>
      <c r="W882" s="16"/>
      <c r="X882" s="16"/>
      <c r="Y882" s="16">
        <v>100</v>
      </c>
      <c r="Z882" s="16">
        <v>0</v>
      </c>
      <c r="AA882" s="16">
        <v>0</v>
      </c>
      <c r="AB882" s="16">
        <v>0</v>
      </c>
      <c r="AC882" s="16"/>
      <c r="AD882" s="68"/>
      <c r="AE882" s="23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</row>
    <row r="883" spans="1:84" s="2" customFormat="1" x14ac:dyDescent="0.2">
      <c r="A883" s="17" t="s">
        <v>3921</v>
      </c>
      <c r="B883" s="17" t="s">
        <v>45</v>
      </c>
      <c r="C883" s="17">
        <v>2025</v>
      </c>
      <c r="D883" s="17" t="str">
        <f t="array" ref="D883">_xlfn.SWITCH(E883,"Jatikalen","35.18.20","Kertosono", "35.18.08","Lengkong","35.18.19","Loceret","35.18.04","Tanjunganom","35.18.11","Wilangan","35.18.15")</f>
        <v>35.18.11</v>
      </c>
      <c r="E883" s="16" t="s">
        <v>60</v>
      </c>
      <c r="F883" s="33" t="s">
        <v>1943</v>
      </c>
      <c r="G883" s="33" t="s">
        <v>2137</v>
      </c>
      <c r="H883" s="16" t="s">
        <v>31</v>
      </c>
      <c r="I883" s="16">
        <v>1</v>
      </c>
      <c r="J883" s="16">
        <v>1</v>
      </c>
      <c r="K883" s="16">
        <f t="shared" si="15"/>
        <v>2</v>
      </c>
      <c r="L883" s="38">
        <v>5000000</v>
      </c>
      <c r="M883" s="17" t="s">
        <v>1951</v>
      </c>
      <c r="N883" s="67">
        <f>700*12*26</f>
        <v>218400</v>
      </c>
      <c r="O883" s="16" t="s">
        <v>49</v>
      </c>
      <c r="P883" s="30">
        <v>109200000</v>
      </c>
      <c r="Q883" s="33" t="s">
        <v>286</v>
      </c>
      <c r="R883" s="38">
        <f>25*12</f>
        <v>300</v>
      </c>
      <c r="S883" s="16" t="s">
        <v>2107</v>
      </c>
      <c r="T883" s="30">
        <v>60000000</v>
      </c>
      <c r="U883" s="16" t="s">
        <v>22</v>
      </c>
      <c r="V883" s="20" t="s">
        <v>2125</v>
      </c>
      <c r="W883" s="16"/>
      <c r="X883" s="16"/>
      <c r="Y883" s="16">
        <v>75</v>
      </c>
      <c r="Z883" s="16">
        <v>25</v>
      </c>
      <c r="AA883" s="16">
        <v>0</v>
      </c>
      <c r="AB883" s="16">
        <v>0</v>
      </c>
      <c r="AC883" s="16"/>
      <c r="AD883" s="68"/>
      <c r="AE883" s="23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</row>
    <row r="884" spans="1:84" s="2" customFormat="1" x14ac:dyDescent="0.2">
      <c r="A884" s="17" t="s">
        <v>3921</v>
      </c>
      <c r="B884" s="17" t="s">
        <v>45</v>
      </c>
      <c r="C884" s="17">
        <v>2025</v>
      </c>
      <c r="D884" s="17" t="str">
        <f t="array" ref="D884">_xlfn.SWITCH(E884,"Jatikalen","35.18.20","Kertosono", "35.18.08","Lengkong","35.18.19","Loceret","35.18.04","Tanjunganom","35.18.11","Wilangan","35.18.15")</f>
        <v>35.18.11</v>
      </c>
      <c r="E884" s="16" t="s">
        <v>60</v>
      </c>
      <c r="F884" s="33" t="s">
        <v>1943</v>
      </c>
      <c r="G884" s="33" t="s">
        <v>1663</v>
      </c>
      <c r="H884" s="16" t="s">
        <v>31</v>
      </c>
      <c r="I884" s="16">
        <v>2</v>
      </c>
      <c r="J884" s="16">
        <v>1</v>
      </c>
      <c r="K884" s="16">
        <f t="shared" si="15"/>
        <v>3</v>
      </c>
      <c r="L884" s="38">
        <v>5000000</v>
      </c>
      <c r="M884" s="17" t="s">
        <v>1951</v>
      </c>
      <c r="N884" s="67">
        <f>1000*26*12</f>
        <v>312000</v>
      </c>
      <c r="O884" s="16" t="s">
        <v>49</v>
      </c>
      <c r="P884" s="30">
        <v>156000000</v>
      </c>
      <c r="Q884" s="33" t="s">
        <v>286</v>
      </c>
      <c r="R884" s="38">
        <f>30*12</f>
        <v>360</v>
      </c>
      <c r="S884" s="16" t="s">
        <v>2107</v>
      </c>
      <c r="T884" s="30">
        <v>72000000</v>
      </c>
      <c r="U884" s="16" t="s">
        <v>22</v>
      </c>
      <c r="V884" s="20" t="s">
        <v>2125</v>
      </c>
      <c r="W884" s="16"/>
      <c r="X884" s="16"/>
      <c r="Y884" s="16">
        <v>100</v>
      </c>
      <c r="Z884" s="16">
        <v>0</v>
      </c>
      <c r="AA884" s="16">
        <v>0</v>
      </c>
      <c r="AB884" s="16">
        <v>0</v>
      </c>
      <c r="AC884" s="16"/>
      <c r="AD884" s="68"/>
      <c r="AE884" s="23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</row>
    <row r="885" spans="1:84" s="2" customFormat="1" x14ac:dyDescent="0.2">
      <c r="A885" s="17" t="s">
        <v>3921</v>
      </c>
      <c r="B885" s="17" t="s">
        <v>45</v>
      </c>
      <c r="C885" s="17">
        <v>2025</v>
      </c>
      <c r="D885" s="17" t="str">
        <f t="array" ref="D885">_xlfn.SWITCH(E885,"Jatikalen","35.18.20","Kertosono", "35.18.08","Lengkong","35.18.19","Loceret","35.18.04","Tanjunganom","35.18.11","Wilangan","35.18.15")</f>
        <v>35.18.11</v>
      </c>
      <c r="E885" s="16" t="s">
        <v>60</v>
      </c>
      <c r="F885" s="33" t="s">
        <v>1943</v>
      </c>
      <c r="G885" s="33" t="s">
        <v>2138</v>
      </c>
      <c r="H885" s="16" t="s">
        <v>31</v>
      </c>
      <c r="I885" s="16">
        <v>1</v>
      </c>
      <c r="J885" s="16">
        <v>1</v>
      </c>
      <c r="K885" s="16">
        <f t="shared" si="15"/>
        <v>2</v>
      </c>
      <c r="L885" s="38">
        <v>2000000</v>
      </c>
      <c r="M885" s="17" t="s">
        <v>1951</v>
      </c>
      <c r="N885" s="67">
        <f>500*12*13</f>
        <v>78000</v>
      </c>
      <c r="O885" s="16" t="s">
        <v>49</v>
      </c>
      <c r="P885" s="30">
        <v>40950000</v>
      </c>
      <c r="Q885" s="33" t="s">
        <v>286</v>
      </c>
      <c r="R885" s="38">
        <f>5*12</f>
        <v>60</v>
      </c>
      <c r="S885" s="16" t="s">
        <v>2107</v>
      </c>
      <c r="T885" s="30">
        <v>12000000</v>
      </c>
      <c r="U885" s="16" t="s">
        <v>22</v>
      </c>
      <c r="V885" s="20" t="s">
        <v>2125</v>
      </c>
      <c r="W885" s="16"/>
      <c r="X885" s="16"/>
      <c r="Y885" s="16">
        <v>60</v>
      </c>
      <c r="Z885" s="16">
        <v>40</v>
      </c>
      <c r="AA885" s="16">
        <v>0</v>
      </c>
      <c r="AB885" s="16">
        <v>0</v>
      </c>
      <c r="AC885" s="16"/>
      <c r="AD885" s="68"/>
      <c r="AE885" s="23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</row>
    <row r="886" spans="1:84" s="2" customFormat="1" x14ac:dyDescent="0.2">
      <c r="A886" s="17" t="s">
        <v>3921</v>
      </c>
      <c r="B886" s="17" t="s">
        <v>45</v>
      </c>
      <c r="C886" s="17">
        <v>2025</v>
      </c>
      <c r="D886" s="17" t="str">
        <f t="array" ref="D886">_xlfn.SWITCH(E886,"Jatikalen","35.18.20","Kertosono", "35.18.08","Lengkong","35.18.19","Loceret","35.18.04","Tanjunganom","35.18.11","Wilangan","35.18.15")</f>
        <v>35.18.11</v>
      </c>
      <c r="E886" s="16" t="s">
        <v>60</v>
      </c>
      <c r="F886" s="33" t="s">
        <v>1943</v>
      </c>
      <c r="G886" s="33" t="s">
        <v>2139</v>
      </c>
      <c r="H886" s="16" t="s">
        <v>31</v>
      </c>
      <c r="I886" s="16">
        <v>1</v>
      </c>
      <c r="J886" s="16">
        <v>1</v>
      </c>
      <c r="K886" s="16">
        <f t="shared" si="15"/>
        <v>2</v>
      </c>
      <c r="L886" s="38">
        <v>2000000</v>
      </c>
      <c r="M886" s="17" t="s">
        <v>1951</v>
      </c>
      <c r="N886" s="67">
        <f>700*12*26</f>
        <v>218400</v>
      </c>
      <c r="O886" s="16" t="s">
        <v>49</v>
      </c>
      <c r="P886" s="30">
        <v>98280000</v>
      </c>
      <c r="Q886" s="33" t="s">
        <v>286</v>
      </c>
      <c r="R886" s="38">
        <f>17*12</f>
        <v>204</v>
      </c>
      <c r="S886" s="16" t="s">
        <v>2107</v>
      </c>
      <c r="T886" s="30">
        <v>40800000</v>
      </c>
      <c r="U886" s="16" t="s">
        <v>22</v>
      </c>
      <c r="V886" s="20" t="s">
        <v>2125</v>
      </c>
      <c r="W886" s="16"/>
      <c r="X886" s="16"/>
      <c r="Y886" s="16">
        <v>90</v>
      </c>
      <c r="Z886" s="16">
        <v>10</v>
      </c>
      <c r="AA886" s="16">
        <v>0</v>
      </c>
      <c r="AB886" s="16">
        <v>0</v>
      </c>
      <c r="AC886" s="16"/>
      <c r="AD886" s="68"/>
      <c r="AE886" s="23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</row>
    <row r="887" spans="1:84" s="2" customFormat="1" x14ac:dyDescent="0.2">
      <c r="A887" s="17" t="s">
        <v>3921</v>
      </c>
      <c r="B887" s="17" t="s">
        <v>45</v>
      </c>
      <c r="C887" s="17">
        <v>2025</v>
      </c>
      <c r="D887" s="17" t="str">
        <f t="array" ref="D887">_xlfn.SWITCH(E887,"Jatikalen","35.18.20","Kertosono", "35.18.08","Lengkong","35.18.19","Loceret","35.18.04","Tanjunganom","35.18.11","Wilangan","35.18.15")</f>
        <v>35.18.08</v>
      </c>
      <c r="E887" s="16" t="s">
        <v>128</v>
      </c>
      <c r="F887" s="33" t="s">
        <v>2140</v>
      </c>
      <c r="G887" s="33" t="s">
        <v>2141</v>
      </c>
      <c r="H887" s="16" t="s">
        <v>31</v>
      </c>
      <c r="I887" s="16">
        <v>0</v>
      </c>
      <c r="J887" s="16">
        <v>3</v>
      </c>
      <c r="K887" s="16">
        <f t="shared" si="15"/>
        <v>3</v>
      </c>
      <c r="L887" s="38">
        <v>4500000</v>
      </c>
      <c r="M887" s="17" t="s">
        <v>2142</v>
      </c>
      <c r="N887" s="67">
        <v>20</v>
      </c>
      <c r="O887" s="16" t="s">
        <v>962</v>
      </c>
      <c r="P887" s="30">
        <v>20000000</v>
      </c>
      <c r="Q887" s="33" t="s">
        <v>1787</v>
      </c>
      <c r="R887" s="38">
        <v>2500</v>
      </c>
      <c r="S887" s="16" t="s">
        <v>422</v>
      </c>
      <c r="T887" s="30">
        <v>12500000</v>
      </c>
      <c r="U887" s="16" t="s">
        <v>22</v>
      </c>
      <c r="V887" s="20"/>
      <c r="W887" s="16"/>
      <c r="X887" s="16"/>
      <c r="Y887" s="16">
        <v>80</v>
      </c>
      <c r="Z887" s="16">
        <v>20</v>
      </c>
      <c r="AA887" s="16">
        <v>0</v>
      </c>
      <c r="AB887" s="16">
        <v>0</v>
      </c>
      <c r="AC887" s="16"/>
      <c r="AD887" s="68"/>
      <c r="AE887" s="23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</row>
    <row r="888" spans="1:84" s="2" customFormat="1" x14ac:dyDescent="0.2">
      <c r="A888" s="17" t="s">
        <v>3921</v>
      </c>
      <c r="B888" s="17" t="s">
        <v>45</v>
      </c>
      <c r="C888" s="17">
        <v>2025</v>
      </c>
      <c r="D888" s="17" t="str">
        <f t="array" ref="D888">_xlfn.SWITCH(E888,"Bagor","35.18.14","Sukomoro",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888" s="16" t="s">
        <v>162</v>
      </c>
      <c r="F888" s="33" t="s">
        <v>2143</v>
      </c>
      <c r="G888" s="33" t="s">
        <v>2144</v>
      </c>
      <c r="H888" s="16" t="s">
        <v>31</v>
      </c>
      <c r="I888" s="16">
        <v>5</v>
      </c>
      <c r="J888" s="16">
        <v>18</v>
      </c>
      <c r="K888" s="16">
        <f t="shared" si="15"/>
        <v>23</v>
      </c>
      <c r="L888" s="38">
        <v>40000000</v>
      </c>
      <c r="M888" s="17" t="s">
        <v>1367</v>
      </c>
      <c r="N888" s="67">
        <v>2750</v>
      </c>
      <c r="O888" s="16" t="s">
        <v>1368</v>
      </c>
      <c r="P888" s="30">
        <f>N888*350000</f>
        <v>962500000</v>
      </c>
      <c r="Q888" s="33" t="s">
        <v>1468</v>
      </c>
      <c r="R888" s="38">
        <v>2000</v>
      </c>
      <c r="S888" s="16" t="s">
        <v>1368</v>
      </c>
      <c r="T888" s="30">
        <f>R888*65000</f>
        <v>130000000</v>
      </c>
      <c r="U888" s="16" t="s">
        <v>22</v>
      </c>
      <c r="V888" s="20" t="s">
        <v>1370</v>
      </c>
      <c r="W888" s="16">
        <v>2000</v>
      </c>
      <c r="X888" s="16" t="s">
        <v>143</v>
      </c>
      <c r="Y888" s="16">
        <v>90</v>
      </c>
      <c r="Z888" s="16">
        <v>10</v>
      </c>
      <c r="AA888" s="16">
        <v>0</v>
      </c>
      <c r="AB888" s="16">
        <v>0</v>
      </c>
      <c r="AC888" s="16"/>
      <c r="AD888" s="68"/>
      <c r="AE888" s="23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</row>
    <row r="889" spans="1:84" s="2" customFormat="1" x14ac:dyDescent="0.2">
      <c r="A889" s="17" t="s">
        <v>3921</v>
      </c>
      <c r="B889" s="17" t="s">
        <v>45</v>
      </c>
      <c r="C889" s="17">
        <v>2025</v>
      </c>
      <c r="D889" s="17" t="str">
        <f t="array" ref="D889">_xlfn.SWITCH(E889,"Bagor","35.18.14","Sukomoro",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89" s="16" t="s">
        <v>29</v>
      </c>
      <c r="F889" s="33" t="s">
        <v>2145</v>
      </c>
      <c r="G889" s="33" t="s">
        <v>2146</v>
      </c>
      <c r="H889" s="16" t="s">
        <v>31</v>
      </c>
      <c r="I889" s="16">
        <v>2</v>
      </c>
      <c r="J889" s="16">
        <v>6</v>
      </c>
      <c r="K889" s="16">
        <f t="shared" si="15"/>
        <v>8</v>
      </c>
      <c r="L889" s="38">
        <v>15000000</v>
      </c>
      <c r="M889" s="17" t="s">
        <v>1367</v>
      </c>
      <c r="N889" s="67">
        <v>1500</v>
      </c>
      <c r="O889" s="16" t="s">
        <v>1368</v>
      </c>
      <c r="P889" s="30">
        <f>N889*350000</f>
        <v>525000000</v>
      </c>
      <c r="Q889" s="33" t="s">
        <v>1468</v>
      </c>
      <c r="R889" s="38">
        <v>2700</v>
      </c>
      <c r="S889" s="16" t="s">
        <v>1368</v>
      </c>
      <c r="T889" s="30">
        <f>R889*55000</f>
        <v>148500000</v>
      </c>
      <c r="U889" s="16" t="s">
        <v>22</v>
      </c>
      <c r="V889" s="20" t="s">
        <v>1370</v>
      </c>
      <c r="W889" s="16">
        <v>1200</v>
      </c>
      <c r="X889" s="16" t="s">
        <v>143</v>
      </c>
      <c r="Y889" s="16">
        <v>70</v>
      </c>
      <c r="Z889" s="16">
        <v>30</v>
      </c>
      <c r="AA889" s="16">
        <v>0</v>
      </c>
      <c r="AB889" s="16">
        <v>0</v>
      </c>
      <c r="AC889" s="16"/>
      <c r="AD889" s="68"/>
      <c r="AE889" s="23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</row>
    <row r="890" spans="1:84" s="2" customFormat="1" x14ac:dyDescent="0.2">
      <c r="A890" s="17" t="s">
        <v>3921</v>
      </c>
      <c r="B890" s="17" t="s">
        <v>45</v>
      </c>
      <c r="C890" s="17">
        <v>2025</v>
      </c>
      <c r="D890" s="17" t="str">
        <f t="array" ref="D890">_xlfn.SWITCH(E890,"Jatikalen","35.18.20","Kertosono", "35.18.08","Lengkong","35.18.19","Loceret","35.18.04","Tanjunganom","35.18.11","Wilangan","35.18.15")</f>
        <v>35.18.08</v>
      </c>
      <c r="E890" s="16" t="s">
        <v>128</v>
      </c>
      <c r="F890" s="33" t="s">
        <v>2147</v>
      </c>
      <c r="G890" s="33" t="s">
        <v>2148</v>
      </c>
      <c r="H890" s="16" t="s">
        <v>31</v>
      </c>
      <c r="I890" s="16">
        <v>0</v>
      </c>
      <c r="J890" s="16">
        <v>5</v>
      </c>
      <c r="K890" s="16">
        <f t="shared" si="15"/>
        <v>5</v>
      </c>
      <c r="L890" s="38">
        <v>4000000</v>
      </c>
      <c r="M890" s="17" t="s">
        <v>1767</v>
      </c>
      <c r="N890" s="67">
        <v>32000</v>
      </c>
      <c r="O890" s="16" t="s">
        <v>422</v>
      </c>
      <c r="P890" s="30">
        <v>25600000</v>
      </c>
      <c r="Q890" s="33" t="s">
        <v>1787</v>
      </c>
      <c r="R890" s="38">
        <v>2750</v>
      </c>
      <c r="S890" s="16" t="s">
        <v>422</v>
      </c>
      <c r="T890" s="30">
        <v>13750000</v>
      </c>
      <c r="U890" s="16" t="s">
        <v>22</v>
      </c>
      <c r="V890" s="20"/>
      <c r="W890" s="16"/>
      <c r="X890" s="16"/>
      <c r="Y890" s="16">
        <v>60</v>
      </c>
      <c r="Z890" s="16">
        <v>40</v>
      </c>
      <c r="AA890" s="16">
        <v>0</v>
      </c>
      <c r="AB890" s="16">
        <v>0</v>
      </c>
      <c r="AC890" s="16"/>
      <c r="AD890" s="68"/>
      <c r="AE890" s="23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</row>
    <row r="891" spans="1:84" s="2" customFormat="1" ht="20" x14ac:dyDescent="0.2">
      <c r="A891" s="17" t="s">
        <v>3921</v>
      </c>
      <c r="B891" s="17" t="s">
        <v>45</v>
      </c>
      <c r="C891" s="17">
        <v>2025</v>
      </c>
      <c r="D891" s="17" t="str">
        <f t="array" ref="D891">_xlfn.SWITCH(E891,"Bagor","35.18.14","Sukomoro",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91" s="16" t="s">
        <v>29</v>
      </c>
      <c r="F891" s="33" t="s">
        <v>2149</v>
      </c>
      <c r="G891" s="33" t="s">
        <v>2150</v>
      </c>
      <c r="H891" s="16" t="s">
        <v>31</v>
      </c>
      <c r="I891" s="16">
        <v>5</v>
      </c>
      <c r="J891" s="16">
        <v>0</v>
      </c>
      <c r="K891" s="16">
        <f t="shared" si="15"/>
        <v>5</v>
      </c>
      <c r="L891" s="38">
        <v>10000000</v>
      </c>
      <c r="M891" s="17" t="s">
        <v>2037</v>
      </c>
      <c r="N891" s="67">
        <v>1200</v>
      </c>
      <c r="O891" s="16" t="s">
        <v>49</v>
      </c>
      <c r="P891" s="30">
        <v>90000000</v>
      </c>
      <c r="Q891" s="33" t="s">
        <v>2151</v>
      </c>
      <c r="R891" s="67">
        <v>2400</v>
      </c>
      <c r="S891" s="16" t="s">
        <v>422</v>
      </c>
      <c r="T891" s="30">
        <v>20400000</v>
      </c>
      <c r="U891" s="16" t="s">
        <v>22</v>
      </c>
      <c r="V891" s="20"/>
      <c r="W891" s="16"/>
      <c r="X891" s="16"/>
      <c r="Y891" s="16">
        <v>65</v>
      </c>
      <c r="Z891" s="16">
        <v>35</v>
      </c>
      <c r="AA891" s="16">
        <v>0</v>
      </c>
      <c r="AB891" s="16">
        <v>0</v>
      </c>
      <c r="AC891" s="16"/>
      <c r="AD891" s="68"/>
      <c r="AE891" s="23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</row>
    <row r="892" spans="1:84" s="2" customFormat="1" ht="20" x14ac:dyDescent="0.2">
      <c r="A892" s="17" t="s">
        <v>3921</v>
      </c>
      <c r="B892" s="17" t="s">
        <v>45</v>
      </c>
      <c r="C892" s="17">
        <v>2025</v>
      </c>
      <c r="D892" s="17" t="str">
        <f t="array" ref="D892">_xlfn.SWITCH(E892,"Bagor","35.18.14","Sukomoro",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92" s="16" t="s">
        <v>29</v>
      </c>
      <c r="F892" s="33" t="s">
        <v>2149</v>
      </c>
      <c r="G892" s="33" t="s">
        <v>2152</v>
      </c>
      <c r="H892" s="16" t="s">
        <v>31</v>
      </c>
      <c r="I892" s="16">
        <v>5</v>
      </c>
      <c r="J892" s="16">
        <v>0</v>
      </c>
      <c r="K892" s="16">
        <f t="shared" si="15"/>
        <v>5</v>
      </c>
      <c r="L892" s="38">
        <v>10000000</v>
      </c>
      <c r="M892" s="17" t="s">
        <v>2037</v>
      </c>
      <c r="N892" s="67">
        <v>1000</v>
      </c>
      <c r="O892" s="16" t="s">
        <v>49</v>
      </c>
      <c r="P892" s="30">
        <v>75000000</v>
      </c>
      <c r="Q892" s="33" t="s">
        <v>2151</v>
      </c>
      <c r="R892" s="67">
        <v>2000</v>
      </c>
      <c r="S892" s="16" t="s">
        <v>422</v>
      </c>
      <c r="T892" s="30">
        <v>17000000</v>
      </c>
      <c r="U892" s="16" t="s">
        <v>22</v>
      </c>
      <c r="V892" s="20"/>
      <c r="W892" s="16"/>
      <c r="X892" s="16"/>
      <c r="Y892" s="16">
        <v>65</v>
      </c>
      <c r="Z892" s="16">
        <v>35</v>
      </c>
      <c r="AA892" s="16">
        <v>0</v>
      </c>
      <c r="AB892" s="16">
        <v>0</v>
      </c>
      <c r="AC892" s="16"/>
      <c r="AD892" s="68"/>
      <c r="AE892" s="23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</row>
    <row r="893" spans="1:84" s="2" customFormat="1" ht="20" x14ac:dyDescent="0.2">
      <c r="A893" s="17" t="s">
        <v>3921</v>
      </c>
      <c r="B893" s="17" t="s">
        <v>45</v>
      </c>
      <c r="C893" s="17">
        <v>2025</v>
      </c>
      <c r="D893" s="17" t="str">
        <f t="array" ref="D893">_xlfn.SWITCH(E893,"Bagor","35.18.14","Sukomoro",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93" s="16" t="s">
        <v>29</v>
      </c>
      <c r="F893" s="33" t="s">
        <v>2149</v>
      </c>
      <c r="G893" s="33" t="s">
        <v>2153</v>
      </c>
      <c r="H893" s="16" t="s">
        <v>31</v>
      </c>
      <c r="I893" s="16">
        <v>4</v>
      </c>
      <c r="J893" s="16">
        <v>0</v>
      </c>
      <c r="K893" s="16">
        <f t="shared" si="15"/>
        <v>4</v>
      </c>
      <c r="L893" s="38">
        <v>10000000</v>
      </c>
      <c r="M893" s="17" t="s">
        <v>2037</v>
      </c>
      <c r="N893" s="67">
        <v>750</v>
      </c>
      <c r="O893" s="16" t="s">
        <v>49</v>
      </c>
      <c r="P893" s="30">
        <v>56250000</v>
      </c>
      <c r="Q893" s="33" t="s">
        <v>2151</v>
      </c>
      <c r="R893" s="67">
        <v>1500</v>
      </c>
      <c r="S893" s="16" t="s">
        <v>422</v>
      </c>
      <c r="T893" s="30">
        <v>12750000</v>
      </c>
      <c r="U893" s="16" t="s">
        <v>22</v>
      </c>
      <c r="V893" s="20"/>
      <c r="W893" s="16"/>
      <c r="X893" s="16"/>
      <c r="Y893" s="16">
        <v>60</v>
      </c>
      <c r="Z893" s="16">
        <v>40</v>
      </c>
      <c r="AA893" s="16">
        <v>0</v>
      </c>
      <c r="AB893" s="16">
        <v>0</v>
      </c>
      <c r="AC893" s="16"/>
      <c r="AD893" s="68"/>
      <c r="AE893" s="23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</row>
    <row r="894" spans="1:84" s="2" customFormat="1" ht="20" x14ac:dyDescent="0.2">
      <c r="A894" s="17" t="s">
        <v>3921</v>
      </c>
      <c r="B894" s="17" t="s">
        <v>45</v>
      </c>
      <c r="C894" s="17">
        <v>2025</v>
      </c>
      <c r="D894" s="17" t="str">
        <f t="array" ref="D894">_xlfn.SWITCH(E894,"Jatikalen","35.18.20","Kertosono", "35.18.08","Lengkong","35.18.19","Loceret","35.18.04","Tanjunganom","35.18.11","Wilangan","35.18.15")</f>
        <v>35.18.04</v>
      </c>
      <c r="E894" s="16" t="s">
        <v>41</v>
      </c>
      <c r="F894" s="33" t="s">
        <v>2154</v>
      </c>
      <c r="G894" s="33" t="s">
        <v>2155</v>
      </c>
      <c r="H894" s="16" t="s">
        <v>31</v>
      </c>
      <c r="I894" s="16">
        <v>1</v>
      </c>
      <c r="J894" s="16">
        <v>1</v>
      </c>
      <c r="K894" s="16">
        <f t="shared" si="15"/>
        <v>2</v>
      </c>
      <c r="L894" s="38">
        <v>8750000</v>
      </c>
      <c r="M894" s="17" t="s">
        <v>1120</v>
      </c>
      <c r="N894" s="67">
        <v>1.05</v>
      </c>
      <c r="O894" s="16" t="s">
        <v>83</v>
      </c>
      <c r="P894" s="30">
        <v>15750000</v>
      </c>
      <c r="Q894" s="33" t="s">
        <v>1642</v>
      </c>
      <c r="R894" s="67">
        <v>1</v>
      </c>
      <c r="S894" s="16" t="s">
        <v>83</v>
      </c>
      <c r="T894" s="30">
        <v>8750000</v>
      </c>
      <c r="U894" s="16" t="s">
        <v>22</v>
      </c>
      <c r="V894" s="16"/>
      <c r="W894" s="16"/>
      <c r="X894" s="16"/>
      <c r="Y894" s="16">
        <v>55</v>
      </c>
      <c r="Z894" s="16">
        <v>45</v>
      </c>
      <c r="AA894" s="16">
        <v>0</v>
      </c>
      <c r="AB894" s="16">
        <v>0</v>
      </c>
      <c r="AC894" s="16"/>
      <c r="AD894" s="68"/>
      <c r="AE894" s="23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</row>
    <row r="895" spans="1:84" s="2" customFormat="1" ht="20" x14ac:dyDescent="0.2">
      <c r="A895" s="17" t="s">
        <v>3921</v>
      </c>
      <c r="B895" s="17" t="s">
        <v>45</v>
      </c>
      <c r="C895" s="17">
        <v>2025</v>
      </c>
      <c r="D895" s="17" t="str">
        <f t="array" ref="D895">_xlfn.SWITCH(E895,"Jatikalen","35.18.20","Kertosono", "35.18.08","Lengkong","35.18.19","Loceret","35.18.04","Tanjunganom","35.18.11","Wilangan","35.18.15")</f>
        <v>35.18.04</v>
      </c>
      <c r="E895" s="16" t="s">
        <v>41</v>
      </c>
      <c r="F895" s="33" t="s">
        <v>2154</v>
      </c>
      <c r="G895" s="33" t="s">
        <v>2156</v>
      </c>
      <c r="H895" s="16" t="s">
        <v>31</v>
      </c>
      <c r="I895" s="16">
        <v>1</v>
      </c>
      <c r="J895" s="16">
        <v>1</v>
      </c>
      <c r="K895" s="16">
        <f t="shared" si="15"/>
        <v>2</v>
      </c>
      <c r="L895" s="38">
        <v>1000000</v>
      </c>
      <c r="M895" s="17" t="s">
        <v>1120</v>
      </c>
      <c r="N895" s="38" t="s">
        <v>730</v>
      </c>
      <c r="O895" s="16" t="s">
        <v>962</v>
      </c>
      <c r="P895" s="30">
        <v>236250000</v>
      </c>
      <c r="Q895" s="33" t="s">
        <v>1642</v>
      </c>
      <c r="R895" s="38" t="s">
        <v>730</v>
      </c>
      <c r="S895" s="16" t="s">
        <v>962</v>
      </c>
      <c r="T895" s="30">
        <v>18375000</v>
      </c>
      <c r="U895" s="16" t="s">
        <v>22</v>
      </c>
      <c r="V895" s="16"/>
      <c r="W895" s="16"/>
      <c r="X895" s="16"/>
      <c r="Y895" s="16">
        <v>70</v>
      </c>
      <c r="Z895" s="16">
        <v>30</v>
      </c>
      <c r="AA895" s="16">
        <v>0</v>
      </c>
      <c r="AB895" s="16">
        <v>0</v>
      </c>
      <c r="AC895" s="16"/>
      <c r="AD895" s="68"/>
      <c r="AE895" s="23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</row>
    <row r="896" spans="1:84" s="2" customFormat="1" ht="20" x14ac:dyDescent="0.2">
      <c r="A896" s="17" t="s">
        <v>3921</v>
      </c>
      <c r="B896" s="17" t="s">
        <v>45</v>
      </c>
      <c r="C896" s="17">
        <v>2025</v>
      </c>
      <c r="D896" s="17" t="str">
        <f t="array" ref="D896">_xlfn.SWITCH(E896,"Jatikalen","35.18.20","Kertosono", "35.18.08","Lengkong","35.18.19","Loceret","35.18.04","Tanjunganom","35.18.11","Wilangan","35.18.15")</f>
        <v>35.18.04</v>
      </c>
      <c r="E896" s="16" t="s">
        <v>41</v>
      </c>
      <c r="F896" s="33" t="s">
        <v>2157</v>
      </c>
      <c r="G896" s="33" t="s">
        <v>2158</v>
      </c>
      <c r="H896" s="16" t="s">
        <v>31</v>
      </c>
      <c r="I896" s="16">
        <v>0</v>
      </c>
      <c r="J896" s="16">
        <v>5</v>
      </c>
      <c r="K896" s="16">
        <f t="shared" si="15"/>
        <v>5</v>
      </c>
      <c r="L896" s="38">
        <v>1000000</v>
      </c>
      <c r="M896" s="17" t="s">
        <v>1120</v>
      </c>
      <c r="N896" s="38" t="s">
        <v>722</v>
      </c>
      <c r="O896" s="16" t="s">
        <v>962</v>
      </c>
      <c r="P896" s="30">
        <v>112000000</v>
      </c>
      <c r="Q896" s="33" t="s">
        <v>1642</v>
      </c>
      <c r="R896" s="38" t="s">
        <v>722</v>
      </c>
      <c r="S896" s="16" t="s">
        <v>962</v>
      </c>
      <c r="T896" s="30">
        <v>77000000</v>
      </c>
      <c r="U896" s="16" t="s">
        <v>22</v>
      </c>
      <c r="V896" s="16"/>
      <c r="W896" s="16"/>
      <c r="X896" s="16"/>
      <c r="Y896" s="16">
        <v>65</v>
      </c>
      <c r="Z896" s="16">
        <v>35</v>
      </c>
      <c r="AA896" s="16">
        <v>0</v>
      </c>
      <c r="AB896" s="16">
        <v>0</v>
      </c>
      <c r="AC896" s="16"/>
      <c r="AD896" s="68"/>
      <c r="AE896" s="23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</row>
    <row r="897" spans="1:84" s="2" customFormat="1" ht="20" x14ac:dyDescent="0.2">
      <c r="A897" s="17" t="s">
        <v>3921</v>
      </c>
      <c r="B897" s="17" t="s">
        <v>45</v>
      </c>
      <c r="C897" s="17">
        <v>2025</v>
      </c>
      <c r="D897" s="17" t="str">
        <f t="array" ref="D897">_xlfn.SWITCH(E897,"Jatikalen","35.18.20","Kertosono", "35.18.08","Lengkong","35.18.19","Loceret","35.18.04","Tanjunganom","35.18.11","Wilangan","35.18.15")</f>
        <v>35.18.04</v>
      </c>
      <c r="E897" s="16" t="s">
        <v>41</v>
      </c>
      <c r="F897" s="33" t="s">
        <v>2159</v>
      </c>
      <c r="G897" s="33" t="s">
        <v>1907</v>
      </c>
      <c r="H897" s="16" t="s">
        <v>31</v>
      </c>
      <c r="I897" s="16">
        <v>1</v>
      </c>
      <c r="J897" s="16">
        <v>1</v>
      </c>
      <c r="K897" s="16">
        <f t="shared" si="15"/>
        <v>2</v>
      </c>
      <c r="L897" s="38">
        <v>1000000</v>
      </c>
      <c r="M897" s="17" t="s">
        <v>1120</v>
      </c>
      <c r="N897" s="38">
        <v>7</v>
      </c>
      <c r="O897" s="16" t="s">
        <v>83</v>
      </c>
      <c r="P897" s="30">
        <v>87500000</v>
      </c>
      <c r="Q897" s="33" t="s">
        <v>1642</v>
      </c>
      <c r="R897" s="38">
        <v>7</v>
      </c>
      <c r="S897" s="16" t="s">
        <v>83</v>
      </c>
      <c r="T897" s="30">
        <v>52500000</v>
      </c>
      <c r="U897" s="16" t="s">
        <v>22</v>
      </c>
      <c r="V897" s="16"/>
      <c r="W897" s="16"/>
      <c r="X897" s="16"/>
      <c r="Y897" s="16">
        <v>70</v>
      </c>
      <c r="Z897" s="16">
        <v>30</v>
      </c>
      <c r="AA897" s="16">
        <v>0</v>
      </c>
      <c r="AB897" s="16">
        <v>0</v>
      </c>
      <c r="AC897" s="16"/>
      <c r="AD897" s="68"/>
      <c r="AE897" s="23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</row>
    <row r="898" spans="1:84" s="2" customFormat="1" ht="20" x14ac:dyDescent="0.2">
      <c r="A898" s="17" t="s">
        <v>3921</v>
      </c>
      <c r="B898" s="17" t="s">
        <v>45</v>
      </c>
      <c r="C898" s="17">
        <v>2025</v>
      </c>
      <c r="D898" s="17" t="str">
        <f t="array" ref="D898">_xlfn.SWITCH(E898,"Jatikalen","35.18.20","Kertosono", "35.18.08","Lengkong","35.18.19","Loceret","35.18.04","Tanjunganom","35.18.11","Wilangan","35.18.15")</f>
        <v>35.18.04</v>
      </c>
      <c r="E898" s="16" t="s">
        <v>41</v>
      </c>
      <c r="F898" s="33" t="s">
        <v>2159</v>
      </c>
      <c r="G898" s="33" t="s">
        <v>2160</v>
      </c>
      <c r="H898" s="16" t="s">
        <v>31</v>
      </c>
      <c r="I898" s="16">
        <v>1</v>
      </c>
      <c r="J898" s="16">
        <v>1</v>
      </c>
      <c r="K898" s="16">
        <f t="shared" ref="K898:K961" si="16">I898+J898</f>
        <v>2</v>
      </c>
      <c r="L898" s="38">
        <v>1000000</v>
      </c>
      <c r="M898" s="17" t="s">
        <v>1120</v>
      </c>
      <c r="N898" s="38">
        <v>2.19</v>
      </c>
      <c r="O898" s="16" t="s">
        <v>962</v>
      </c>
      <c r="P898" s="30">
        <v>45500000</v>
      </c>
      <c r="Q898" s="33" t="s">
        <v>1642</v>
      </c>
      <c r="R898" s="38">
        <v>2</v>
      </c>
      <c r="S898" s="16" t="s">
        <v>83</v>
      </c>
      <c r="T898" s="30">
        <v>15750000</v>
      </c>
      <c r="U898" s="16" t="s">
        <v>22</v>
      </c>
      <c r="V898" s="16"/>
      <c r="W898" s="16"/>
      <c r="X898" s="16"/>
      <c r="Y898" s="16">
        <v>75</v>
      </c>
      <c r="Z898" s="16">
        <v>25</v>
      </c>
      <c r="AA898" s="16">
        <v>0</v>
      </c>
      <c r="AB898" s="16">
        <v>0</v>
      </c>
      <c r="AC898" s="16"/>
      <c r="AD898" s="68"/>
      <c r="AE898" s="23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</row>
    <row r="899" spans="1:84" s="2" customFormat="1" ht="20" x14ac:dyDescent="0.2">
      <c r="A899" s="17" t="s">
        <v>3921</v>
      </c>
      <c r="B899" s="17" t="s">
        <v>45</v>
      </c>
      <c r="C899" s="17">
        <v>2025</v>
      </c>
      <c r="D899" s="17" t="str">
        <f t="array" ref="D899">_xlfn.SWITCH(E899,"Bagor","35.18.14","Sukomoro",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99" s="16" t="s">
        <v>29</v>
      </c>
      <c r="F899" s="33" t="s">
        <v>2161</v>
      </c>
      <c r="G899" s="33" t="s">
        <v>2162</v>
      </c>
      <c r="H899" s="16" t="s">
        <v>31</v>
      </c>
      <c r="I899" s="16">
        <v>1</v>
      </c>
      <c r="J899" s="16">
        <v>1</v>
      </c>
      <c r="K899" s="16">
        <f t="shared" si="16"/>
        <v>2</v>
      </c>
      <c r="L899" s="38">
        <v>12000000</v>
      </c>
      <c r="M899" s="17" t="s">
        <v>2163</v>
      </c>
      <c r="N899" s="38">
        <v>185</v>
      </c>
      <c r="O899" s="16" t="s">
        <v>1398</v>
      </c>
      <c r="P899" s="30">
        <v>42000000</v>
      </c>
      <c r="Q899" s="33" t="s">
        <v>2164</v>
      </c>
      <c r="R899" s="38">
        <v>515</v>
      </c>
      <c r="S899" s="16" t="s">
        <v>2165</v>
      </c>
      <c r="T899" s="30">
        <v>10660000</v>
      </c>
      <c r="U899" s="16" t="s">
        <v>22</v>
      </c>
      <c r="V899" s="16"/>
      <c r="W899" s="16"/>
      <c r="X899" s="16"/>
      <c r="Y899" s="16">
        <v>75</v>
      </c>
      <c r="Z899" s="16">
        <v>25</v>
      </c>
      <c r="AA899" s="16">
        <v>0</v>
      </c>
      <c r="AB899" s="16">
        <v>0</v>
      </c>
      <c r="AC899" s="16"/>
      <c r="AD899" s="68"/>
      <c r="AE899" s="23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</row>
    <row r="900" spans="1:84" s="2" customFormat="1" ht="20" x14ac:dyDescent="0.2">
      <c r="A900" s="17" t="s">
        <v>3921</v>
      </c>
      <c r="B900" s="17" t="s">
        <v>45</v>
      </c>
      <c r="C900" s="17">
        <v>2025</v>
      </c>
      <c r="D900" s="17" t="str">
        <f t="array" ref="D900">_xlfn.SWITCH(E900,"Bagor","35.18.14","Sukomoro",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00" s="16" t="s">
        <v>29</v>
      </c>
      <c r="F900" s="33" t="s">
        <v>2161</v>
      </c>
      <c r="G900" s="33" t="s">
        <v>2166</v>
      </c>
      <c r="H900" s="16" t="s">
        <v>31</v>
      </c>
      <c r="I900" s="16">
        <v>1</v>
      </c>
      <c r="J900" s="16">
        <v>0</v>
      </c>
      <c r="K900" s="16">
        <f t="shared" si="16"/>
        <v>1</v>
      </c>
      <c r="L900" s="38">
        <v>5000000</v>
      </c>
      <c r="M900" s="17" t="s">
        <v>2163</v>
      </c>
      <c r="N900" s="38">
        <v>360</v>
      </c>
      <c r="O900" s="16" t="s">
        <v>1398</v>
      </c>
      <c r="P900" s="30">
        <v>31500000</v>
      </c>
      <c r="Q900" s="33" t="s">
        <v>2167</v>
      </c>
      <c r="R900" s="38">
        <v>135</v>
      </c>
      <c r="S900" s="16" t="s">
        <v>2165</v>
      </c>
      <c r="T900" s="30">
        <v>2700000</v>
      </c>
      <c r="U900" s="16" t="s">
        <v>22</v>
      </c>
      <c r="V900" s="16"/>
      <c r="W900" s="16"/>
      <c r="X900" s="16"/>
      <c r="Y900" s="16">
        <v>65</v>
      </c>
      <c r="Z900" s="16">
        <v>35</v>
      </c>
      <c r="AA900" s="16">
        <v>0</v>
      </c>
      <c r="AB900" s="16">
        <v>0</v>
      </c>
      <c r="AC900" s="16"/>
      <c r="AD900" s="68"/>
      <c r="AE900" s="23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</row>
    <row r="901" spans="1:84" s="2" customFormat="1" ht="20" x14ac:dyDescent="0.2">
      <c r="A901" s="17" t="s">
        <v>3921</v>
      </c>
      <c r="B901" s="17" t="s">
        <v>45</v>
      </c>
      <c r="C901" s="17">
        <v>2025</v>
      </c>
      <c r="D901" s="17" t="str">
        <f t="array" ref="D901">_xlfn.SWITCH(E901,"Bagor","35.18.14","Sukomoro",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01" s="16" t="s">
        <v>29</v>
      </c>
      <c r="F901" s="33" t="s">
        <v>2161</v>
      </c>
      <c r="G901" s="33" t="s">
        <v>796</v>
      </c>
      <c r="H901" s="16" t="s">
        <v>31</v>
      </c>
      <c r="I901" s="16">
        <v>1</v>
      </c>
      <c r="J901" s="16">
        <v>6</v>
      </c>
      <c r="K901" s="16">
        <f t="shared" si="16"/>
        <v>7</v>
      </c>
      <c r="L901" s="38">
        <v>10000000</v>
      </c>
      <c r="M901" s="17" t="s">
        <v>2163</v>
      </c>
      <c r="N901" s="38">
        <v>2500</v>
      </c>
      <c r="O901" s="16" t="s">
        <v>1116</v>
      </c>
      <c r="P901" s="30">
        <v>40000000</v>
      </c>
      <c r="Q901" s="33" t="s">
        <v>1946</v>
      </c>
      <c r="R901" s="38">
        <v>835</v>
      </c>
      <c r="S901" s="16" t="s">
        <v>1538</v>
      </c>
      <c r="T901" s="30">
        <v>19205000</v>
      </c>
      <c r="U901" s="16" t="s">
        <v>22</v>
      </c>
      <c r="V901" s="16"/>
      <c r="W901" s="16"/>
      <c r="X901" s="16"/>
      <c r="Y901" s="16">
        <v>100</v>
      </c>
      <c r="Z901" s="16">
        <v>0</v>
      </c>
      <c r="AA901" s="16">
        <v>0</v>
      </c>
      <c r="AB901" s="16">
        <v>0</v>
      </c>
      <c r="AC901" s="16"/>
      <c r="AD901" s="68"/>
      <c r="AE901" s="23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</row>
    <row r="902" spans="1:84" s="2" customFormat="1" ht="20" x14ac:dyDescent="0.2">
      <c r="A902" s="17" t="s">
        <v>3921</v>
      </c>
      <c r="B902" s="17" t="s">
        <v>45</v>
      </c>
      <c r="C902" s="17">
        <v>2025</v>
      </c>
      <c r="D902" s="17" t="str">
        <f t="array" ref="D902">_xlfn.SWITCH(E902,"Bagor","35.18.14","Sukomoro",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02" s="16" t="s">
        <v>29</v>
      </c>
      <c r="F902" s="33" t="s">
        <v>2161</v>
      </c>
      <c r="G902" s="33" t="s">
        <v>914</v>
      </c>
      <c r="H902" s="16" t="s">
        <v>31</v>
      </c>
      <c r="I902" s="16">
        <v>8</v>
      </c>
      <c r="J902" s="16">
        <v>8</v>
      </c>
      <c r="K902" s="16">
        <f t="shared" si="16"/>
        <v>16</v>
      </c>
      <c r="L902" s="38">
        <v>20000000</v>
      </c>
      <c r="M902" s="17" t="s">
        <v>2163</v>
      </c>
      <c r="N902" s="38">
        <v>900</v>
      </c>
      <c r="O902" s="16" t="s">
        <v>1116</v>
      </c>
      <c r="P902" s="30">
        <v>13500000</v>
      </c>
      <c r="Q902" s="33" t="s">
        <v>1059</v>
      </c>
      <c r="R902" s="38">
        <v>300</v>
      </c>
      <c r="S902" s="16" t="s">
        <v>1538</v>
      </c>
      <c r="T902" s="30">
        <v>6900000</v>
      </c>
      <c r="U902" s="16" t="s">
        <v>22</v>
      </c>
      <c r="V902" s="16"/>
      <c r="W902" s="16"/>
      <c r="X902" s="16"/>
      <c r="Y902" s="16">
        <v>100</v>
      </c>
      <c r="Z902" s="16">
        <v>0</v>
      </c>
      <c r="AA902" s="16">
        <v>0</v>
      </c>
      <c r="AB902" s="16">
        <v>0</v>
      </c>
      <c r="AC902" s="16"/>
      <c r="AD902" s="68"/>
      <c r="AE902" s="23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</row>
    <row r="903" spans="1:84" s="2" customFormat="1" ht="20" x14ac:dyDescent="0.2">
      <c r="A903" s="17" t="s">
        <v>3921</v>
      </c>
      <c r="B903" s="17" t="s">
        <v>45</v>
      </c>
      <c r="C903" s="17">
        <v>2025</v>
      </c>
      <c r="D903" s="17" t="str">
        <f t="array" ref="D903">_xlfn.SWITCH(E903,"Bagor","35.18.14","Sukomoro",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03" s="16" t="s">
        <v>29</v>
      </c>
      <c r="F903" s="33" t="s">
        <v>2161</v>
      </c>
      <c r="G903" s="33" t="s">
        <v>1734</v>
      </c>
      <c r="H903" s="16" t="s">
        <v>31</v>
      </c>
      <c r="I903" s="16">
        <v>0</v>
      </c>
      <c r="J903" s="16">
        <v>4</v>
      </c>
      <c r="K903" s="16">
        <f t="shared" si="16"/>
        <v>4</v>
      </c>
      <c r="L903" s="38">
        <v>2000000</v>
      </c>
      <c r="M903" s="17" t="s">
        <v>2163</v>
      </c>
      <c r="N903" s="38">
        <v>360</v>
      </c>
      <c r="O903" s="16" t="s">
        <v>1116</v>
      </c>
      <c r="P903" s="30">
        <v>5400000</v>
      </c>
      <c r="Q903" s="33" t="s">
        <v>1059</v>
      </c>
      <c r="R903" s="38">
        <v>120</v>
      </c>
      <c r="S903" s="16" t="s">
        <v>1538</v>
      </c>
      <c r="T903" s="30">
        <v>2760000</v>
      </c>
      <c r="U903" s="16" t="s">
        <v>22</v>
      </c>
      <c r="V903" s="16"/>
      <c r="W903" s="16"/>
      <c r="X903" s="16"/>
      <c r="Y903" s="16">
        <v>60</v>
      </c>
      <c r="Z903" s="16">
        <v>40</v>
      </c>
      <c r="AA903" s="16">
        <v>0</v>
      </c>
      <c r="AB903" s="16">
        <v>0</v>
      </c>
      <c r="AC903" s="16"/>
      <c r="AD903" s="68"/>
      <c r="AE903" s="23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</row>
    <row r="904" spans="1:84" s="2" customFormat="1" ht="20" x14ac:dyDescent="0.2">
      <c r="A904" s="17" t="s">
        <v>3921</v>
      </c>
      <c r="B904" s="17" t="s">
        <v>45</v>
      </c>
      <c r="C904" s="17">
        <v>2025</v>
      </c>
      <c r="D904" s="17" t="str">
        <f t="array" ref="D904">_xlfn.SWITCH(E904,"Bagor","35.18.14","Sukomoro",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04" s="16" t="s">
        <v>103</v>
      </c>
      <c r="F904" s="33" t="s">
        <v>2168</v>
      </c>
      <c r="G904" s="33" t="s">
        <v>2169</v>
      </c>
      <c r="H904" s="16" t="s">
        <v>31</v>
      </c>
      <c r="I904" s="16">
        <v>0</v>
      </c>
      <c r="J904" s="16">
        <v>1</v>
      </c>
      <c r="K904" s="16">
        <f t="shared" si="16"/>
        <v>1</v>
      </c>
      <c r="L904" s="38">
        <v>500000</v>
      </c>
      <c r="M904" s="17" t="s">
        <v>2170</v>
      </c>
      <c r="N904" s="38">
        <v>4080</v>
      </c>
      <c r="O904" s="16" t="s">
        <v>1398</v>
      </c>
      <c r="P904" s="30">
        <v>13200000</v>
      </c>
      <c r="Q904" s="33" t="s">
        <v>2171</v>
      </c>
      <c r="R904" s="38">
        <v>866</v>
      </c>
      <c r="S904" s="16" t="s">
        <v>2172</v>
      </c>
      <c r="T904" s="30">
        <v>8660000</v>
      </c>
      <c r="U904" s="16" t="s">
        <v>22</v>
      </c>
      <c r="V904" s="16"/>
      <c r="W904" s="16"/>
      <c r="X904" s="16"/>
      <c r="Y904" s="16">
        <v>70</v>
      </c>
      <c r="Z904" s="16">
        <v>30</v>
      </c>
      <c r="AA904" s="16">
        <v>0</v>
      </c>
      <c r="AB904" s="16">
        <v>0</v>
      </c>
      <c r="AC904" s="16"/>
      <c r="AD904" s="68"/>
      <c r="AE904" s="23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</row>
    <row r="905" spans="1:84" s="2" customFormat="1" ht="20" x14ac:dyDescent="0.2">
      <c r="A905" s="17" t="s">
        <v>3921</v>
      </c>
      <c r="B905" s="17" t="s">
        <v>45</v>
      </c>
      <c r="C905" s="17">
        <v>2025</v>
      </c>
      <c r="D905" s="17" t="str">
        <f t="array" ref="D905">_xlfn.SWITCH(E905,"Bagor","35.18.14","Sukomoro",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05" s="16" t="s">
        <v>103</v>
      </c>
      <c r="F905" s="33" t="s">
        <v>2168</v>
      </c>
      <c r="G905" s="33" t="s">
        <v>2173</v>
      </c>
      <c r="H905" s="16" t="s">
        <v>31</v>
      </c>
      <c r="I905" s="16">
        <v>0</v>
      </c>
      <c r="J905" s="16">
        <v>1</v>
      </c>
      <c r="K905" s="16">
        <f t="shared" si="16"/>
        <v>1</v>
      </c>
      <c r="L905" s="38">
        <v>500000</v>
      </c>
      <c r="M905" s="17" t="s">
        <v>2170</v>
      </c>
      <c r="N905" s="38">
        <v>2376</v>
      </c>
      <c r="O905" s="16" t="s">
        <v>1398</v>
      </c>
      <c r="P905" s="30">
        <v>10260000</v>
      </c>
      <c r="Q905" s="33" t="s">
        <v>2171</v>
      </c>
      <c r="R905" s="38">
        <v>612</v>
      </c>
      <c r="S905" s="16" t="s">
        <v>2172</v>
      </c>
      <c r="T905" s="30">
        <v>6120000</v>
      </c>
      <c r="U905" s="16" t="s">
        <v>22</v>
      </c>
      <c r="V905" s="16"/>
      <c r="W905" s="16"/>
      <c r="X905" s="16"/>
      <c r="Y905" s="16">
        <v>65</v>
      </c>
      <c r="Z905" s="16">
        <v>35</v>
      </c>
      <c r="AA905" s="16">
        <v>0</v>
      </c>
      <c r="AB905" s="16">
        <v>0</v>
      </c>
      <c r="AC905" s="16"/>
      <c r="AD905" s="68"/>
      <c r="AE905" s="23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</row>
    <row r="906" spans="1:84" s="2" customFormat="1" ht="20" x14ac:dyDescent="0.2">
      <c r="A906" s="17" t="s">
        <v>3921</v>
      </c>
      <c r="B906" s="17" t="s">
        <v>45</v>
      </c>
      <c r="C906" s="17">
        <v>2025</v>
      </c>
      <c r="D906" s="17" t="str">
        <f t="array" ref="D906">_xlfn.SWITCH(E906,"Bagor","35.18.14","Sukomoro",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06" s="16" t="s">
        <v>29</v>
      </c>
      <c r="F906" s="33" t="s">
        <v>2174</v>
      </c>
      <c r="G906" s="33" t="s">
        <v>2175</v>
      </c>
      <c r="H906" s="16" t="s">
        <v>47</v>
      </c>
      <c r="I906" s="16">
        <v>2</v>
      </c>
      <c r="J906" s="16">
        <v>0</v>
      </c>
      <c r="K906" s="16">
        <f t="shared" si="16"/>
        <v>2</v>
      </c>
      <c r="L906" s="38">
        <v>100000000</v>
      </c>
      <c r="M906" s="17" t="s">
        <v>2176</v>
      </c>
      <c r="N906" s="38">
        <v>100</v>
      </c>
      <c r="O906" s="16" t="s">
        <v>2177</v>
      </c>
      <c r="P906" s="30">
        <v>300000000</v>
      </c>
      <c r="Q906" s="33" t="s">
        <v>2178</v>
      </c>
      <c r="R906" s="38">
        <v>100</v>
      </c>
      <c r="S906" s="16" t="s">
        <v>69</v>
      </c>
      <c r="T906" s="30">
        <v>20000000</v>
      </c>
      <c r="U906" s="16" t="s">
        <v>22</v>
      </c>
      <c r="V906" s="16"/>
      <c r="W906" s="16"/>
      <c r="X906" s="16"/>
      <c r="Y906" s="16">
        <v>60</v>
      </c>
      <c r="Z906" s="16">
        <v>40</v>
      </c>
      <c r="AA906" s="16">
        <v>0</v>
      </c>
      <c r="AB906" s="16">
        <v>0</v>
      </c>
      <c r="AC906" s="16"/>
      <c r="AD906" s="68"/>
      <c r="AE906" s="23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</row>
    <row r="907" spans="1:84" s="2" customFormat="1" ht="20" x14ac:dyDescent="0.2">
      <c r="A907" s="17" t="s">
        <v>3921</v>
      </c>
      <c r="B907" s="17" t="s">
        <v>45</v>
      </c>
      <c r="C907" s="17">
        <v>2025</v>
      </c>
      <c r="D907" s="17" t="str">
        <f t="array" ref="D907">_xlfn.SWITCH(E907,"Jatikalen","35.18.20","Kertosono", "35.18.08","Lengkong","35.18.19","Loceret","35.18.04","Tanjunganom","35.18.11","Wilangan","35.18.15")</f>
        <v>35.18.11</v>
      </c>
      <c r="E907" s="16" t="s">
        <v>60</v>
      </c>
      <c r="F907" s="33" t="s">
        <v>2179</v>
      </c>
      <c r="G907" s="33" t="s">
        <v>2180</v>
      </c>
      <c r="H907" s="16" t="s">
        <v>31</v>
      </c>
      <c r="I907" s="16">
        <v>2</v>
      </c>
      <c r="J907" s="16">
        <v>0</v>
      </c>
      <c r="K907" s="16">
        <f t="shared" si="16"/>
        <v>2</v>
      </c>
      <c r="L907" s="38">
        <v>5000000</v>
      </c>
      <c r="M907" s="17" t="s">
        <v>2181</v>
      </c>
      <c r="N907" s="38">
        <v>1000</v>
      </c>
      <c r="O907" s="16" t="s">
        <v>1398</v>
      </c>
      <c r="P907" s="30">
        <v>156000000</v>
      </c>
      <c r="Q907" s="33" t="s">
        <v>2182</v>
      </c>
      <c r="R907" s="38">
        <v>10</v>
      </c>
      <c r="S907" s="16" t="s">
        <v>2183</v>
      </c>
      <c r="T907" s="30">
        <v>24000000</v>
      </c>
      <c r="U907" s="16" t="s">
        <v>22</v>
      </c>
      <c r="V907" s="16"/>
      <c r="W907" s="16"/>
      <c r="X907" s="16"/>
      <c r="Y907" s="16">
        <v>65</v>
      </c>
      <c r="Z907" s="16">
        <v>35</v>
      </c>
      <c r="AA907" s="16">
        <v>0</v>
      </c>
      <c r="AB907" s="16">
        <v>0</v>
      </c>
      <c r="AC907" s="16"/>
      <c r="AD907" s="68"/>
      <c r="AE907" s="23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</row>
    <row r="908" spans="1:84" s="2" customFormat="1" ht="20" x14ac:dyDescent="0.2">
      <c r="A908" s="17" t="s">
        <v>3921</v>
      </c>
      <c r="B908" s="17" t="s">
        <v>45</v>
      </c>
      <c r="C908" s="17">
        <v>2025</v>
      </c>
      <c r="D908" s="17" t="str">
        <f t="array" ref="D908">_xlfn.SWITCH(E908,"Jatikalen","35.18.20","Kertosono", "35.18.08","Lengkong","35.18.19","Loceret","35.18.04","Tanjunganom","35.18.11","Wilangan","35.18.15")</f>
        <v>35.18.11</v>
      </c>
      <c r="E908" s="16" t="s">
        <v>60</v>
      </c>
      <c r="F908" s="33" t="s">
        <v>2179</v>
      </c>
      <c r="G908" s="33" t="s">
        <v>2184</v>
      </c>
      <c r="H908" s="16" t="s">
        <v>31</v>
      </c>
      <c r="I908" s="16">
        <v>1</v>
      </c>
      <c r="J908" s="16">
        <v>0</v>
      </c>
      <c r="K908" s="16">
        <f t="shared" si="16"/>
        <v>1</v>
      </c>
      <c r="L908" s="38">
        <v>2500000</v>
      </c>
      <c r="M908" s="17" t="s">
        <v>1951</v>
      </c>
      <c r="N908" s="38">
        <v>300</v>
      </c>
      <c r="O908" s="16" t="s">
        <v>2185</v>
      </c>
      <c r="P908" s="30">
        <v>46800000</v>
      </c>
      <c r="Q908" s="33" t="s">
        <v>2182</v>
      </c>
      <c r="R908" s="38">
        <v>5</v>
      </c>
      <c r="S908" s="16" t="s">
        <v>2183</v>
      </c>
      <c r="T908" s="30">
        <v>12000000</v>
      </c>
      <c r="U908" s="16" t="s">
        <v>22</v>
      </c>
      <c r="V908" s="16"/>
      <c r="W908" s="16"/>
      <c r="X908" s="16"/>
      <c r="Y908" s="16">
        <v>60</v>
      </c>
      <c r="Z908" s="16">
        <v>40</v>
      </c>
      <c r="AA908" s="16">
        <v>0</v>
      </c>
      <c r="AB908" s="16">
        <v>0</v>
      </c>
      <c r="AC908" s="16"/>
      <c r="AD908" s="68"/>
      <c r="AE908" s="23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</row>
    <row r="909" spans="1:84" s="2" customFormat="1" ht="20" x14ac:dyDescent="0.2">
      <c r="A909" s="17" t="s">
        <v>3921</v>
      </c>
      <c r="B909" s="17" t="s">
        <v>45</v>
      </c>
      <c r="C909" s="17">
        <v>2025</v>
      </c>
      <c r="D909" s="17" t="str">
        <f t="array" ref="D909">_xlfn.SWITCH(E909,"Jatikalen","35.18.20","Kertosono", "35.18.08","Lengkong","35.18.19","Loceret","35.18.04","Tanjunganom","35.18.11","Wilangan","35.18.15")</f>
        <v>35.18.11</v>
      </c>
      <c r="E909" s="16" t="s">
        <v>60</v>
      </c>
      <c r="F909" s="33" t="s">
        <v>2179</v>
      </c>
      <c r="G909" s="33" t="s">
        <v>2186</v>
      </c>
      <c r="H909" s="16" t="s">
        <v>31</v>
      </c>
      <c r="I909" s="16">
        <v>2</v>
      </c>
      <c r="J909" s="16">
        <v>0</v>
      </c>
      <c r="K909" s="16">
        <f t="shared" si="16"/>
        <v>2</v>
      </c>
      <c r="L909" s="38">
        <v>7000000</v>
      </c>
      <c r="M909" s="17" t="s">
        <v>1951</v>
      </c>
      <c r="N909" s="38">
        <v>700</v>
      </c>
      <c r="O909" s="16" t="s">
        <v>2185</v>
      </c>
      <c r="P909" s="30">
        <v>109200000</v>
      </c>
      <c r="Q909" s="33" t="s">
        <v>2182</v>
      </c>
      <c r="R909" s="38">
        <v>10</v>
      </c>
      <c r="S909" s="16" t="s">
        <v>2183</v>
      </c>
      <c r="T909" s="30">
        <v>24000000</v>
      </c>
      <c r="U909" s="16" t="s">
        <v>22</v>
      </c>
      <c r="V909" s="16"/>
      <c r="W909" s="16"/>
      <c r="X909" s="16"/>
      <c r="Y909" s="16">
        <v>70</v>
      </c>
      <c r="Z909" s="16">
        <v>30</v>
      </c>
      <c r="AA909" s="16">
        <v>0</v>
      </c>
      <c r="AB909" s="16">
        <v>0</v>
      </c>
      <c r="AC909" s="16"/>
      <c r="AD909" s="68"/>
      <c r="AE909" s="23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</row>
    <row r="910" spans="1:84" s="2" customFormat="1" ht="20" x14ac:dyDescent="0.2">
      <c r="A910" s="17" t="s">
        <v>3921</v>
      </c>
      <c r="B910" s="17" t="s">
        <v>45</v>
      </c>
      <c r="C910" s="17">
        <v>2025</v>
      </c>
      <c r="D910" s="17" t="str">
        <f t="array" ref="D910">_xlfn.SWITCH(E910,"Jatikalen","35.18.20","Kertosono", "35.18.08","Lengkong","35.18.19","Loceret","35.18.04","Tanjunganom","35.18.11","Wilangan","35.18.15")</f>
        <v>35.18.11</v>
      </c>
      <c r="E910" s="16" t="s">
        <v>60</v>
      </c>
      <c r="F910" s="33" t="s">
        <v>2179</v>
      </c>
      <c r="G910" s="33" t="s">
        <v>2187</v>
      </c>
      <c r="H910" s="16" t="s">
        <v>31</v>
      </c>
      <c r="I910" s="16">
        <v>1</v>
      </c>
      <c r="J910" s="16">
        <v>0</v>
      </c>
      <c r="K910" s="16">
        <f t="shared" si="16"/>
        <v>1</v>
      </c>
      <c r="L910" s="38">
        <v>4000000</v>
      </c>
      <c r="M910" s="17" t="s">
        <v>2181</v>
      </c>
      <c r="N910" s="38">
        <v>500</v>
      </c>
      <c r="O910" s="16" t="s">
        <v>2185</v>
      </c>
      <c r="P910" s="30">
        <v>78000000</v>
      </c>
      <c r="Q910" s="33" t="s">
        <v>2182</v>
      </c>
      <c r="R910" s="38">
        <v>6</v>
      </c>
      <c r="S910" s="16" t="s">
        <v>2183</v>
      </c>
      <c r="T910" s="30">
        <v>14400000</v>
      </c>
      <c r="U910" s="16" t="s">
        <v>22</v>
      </c>
      <c r="V910" s="16"/>
      <c r="W910" s="16"/>
      <c r="X910" s="16"/>
      <c r="Y910" s="16">
        <v>60</v>
      </c>
      <c r="Z910" s="16">
        <v>40</v>
      </c>
      <c r="AA910" s="16">
        <v>0</v>
      </c>
      <c r="AB910" s="16">
        <v>0</v>
      </c>
      <c r="AC910" s="16"/>
      <c r="AD910" s="68"/>
      <c r="AE910" s="23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</row>
    <row r="911" spans="1:84" s="2" customFormat="1" ht="20" x14ac:dyDescent="0.2">
      <c r="A911" s="17" t="s">
        <v>3921</v>
      </c>
      <c r="B911" s="17" t="s">
        <v>45</v>
      </c>
      <c r="C911" s="17">
        <v>2025</v>
      </c>
      <c r="D911" s="17" t="str">
        <f t="array" ref="D911">_xlfn.SWITCH(E911,"Jatikalen","35.18.20","Kertosono", "35.18.08","Lengkong","35.18.19","Loceret","35.18.04","Tanjunganom","35.18.11","Wilangan","35.18.15")</f>
        <v>35.18.11</v>
      </c>
      <c r="E911" s="16" t="s">
        <v>60</v>
      </c>
      <c r="F911" s="33" t="s">
        <v>2179</v>
      </c>
      <c r="G911" s="33" t="s">
        <v>2188</v>
      </c>
      <c r="H911" s="16" t="s">
        <v>31</v>
      </c>
      <c r="I911" s="16">
        <v>1</v>
      </c>
      <c r="J911" s="16">
        <v>0</v>
      </c>
      <c r="K911" s="16">
        <f t="shared" si="16"/>
        <v>1</v>
      </c>
      <c r="L911" s="38">
        <v>5000000</v>
      </c>
      <c r="M911" s="17" t="s">
        <v>2181</v>
      </c>
      <c r="N911" s="38">
        <v>500</v>
      </c>
      <c r="O911" s="16" t="s">
        <v>2185</v>
      </c>
      <c r="P911" s="30">
        <v>78000000</v>
      </c>
      <c r="Q911" s="33" t="s">
        <v>2182</v>
      </c>
      <c r="R911" s="38">
        <v>5</v>
      </c>
      <c r="S911" s="16" t="s">
        <v>2183</v>
      </c>
      <c r="T911" s="30">
        <v>12000000</v>
      </c>
      <c r="U911" s="16" t="s">
        <v>22</v>
      </c>
      <c r="V911" s="16"/>
      <c r="W911" s="16"/>
      <c r="X911" s="16"/>
      <c r="Y911" s="16">
        <v>60</v>
      </c>
      <c r="Z911" s="16">
        <v>40</v>
      </c>
      <c r="AA911" s="16">
        <v>0</v>
      </c>
      <c r="AB911" s="16">
        <v>0</v>
      </c>
      <c r="AC911" s="16"/>
      <c r="AD911" s="68"/>
      <c r="AE911" s="23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</row>
    <row r="912" spans="1:84" s="2" customFormat="1" ht="20" x14ac:dyDescent="0.2">
      <c r="A912" s="17" t="s">
        <v>3921</v>
      </c>
      <c r="B912" s="17" t="s">
        <v>45</v>
      </c>
      <c r="C912" s="17">
        <v>2025</v>
      </c>
      <c r="D912" s="17" t="str">
        <f t="array" ref="D912">_xlfn.SWITCH(E912,"Jatikalen","35.18.20","Kertosono", "35.18.08","Lengkong","35.18.19","Loceret","35.18.04","Tanjunganom","35.18.11","Wilangan","35.18.15")</f>
        <v>35.18.11</v>
      </c>
      <c r="E912" s="16" t="s">
        <v>60</v>
      </c>
      <c r="F912" s="33" t="s">
        <v>2179</v>
      </c>
      <c r="G912" s="33" t="s">
        <v>2189</v>
      </c>
      <c r="H912" s="16" t="s">
        <v>31</v>
      </c>
      <c r="I912" s="16">
        <v>1</v>
      </c>
      <c r="J912" s="16">
        <v>0</v>
      </c>
      <c r="K912" s="16">
        <f t="shared" si="16"/>
        <v>1</v>
      </c>
      <c r="L912" s="38">
        <v>4000000</v>
      </c>
      <c r="M912" s="17" t="s">
        <v>2181</v>
      </c>
      <c r="N912" s="38">
        <v>500</v>
      </c>
      <c r="O912" s="16" t="s">
        <v>2185</v>
      </c>
      <c r="P912" s="30">
        <v>78000000</v>
      </c>
      <c r="Q912" s="33" t="s">
        <v>2182</v>
      </c>
      <c r="R912" s="38">
        <v>6</v>
      </c>
      <c r="S912" s="16" t="s">
        <v>2183</v>
      </c>
      <c r="T912" s="30">
        <v>14400000</v>
      </c>
      <c r="U912" s="16" t="s">
        <v>22</v>
      </c>
      <c r="V912" s="16"/>
      <c r="W912" s="16"/>
      <c r="X912" s="16"/>
      <c r="Y912" s="16">
        <v>35</v>
      </c>
      <c r="Z912" s="16">
        <v>40</v>
      </c>
      <c r="AA912" s="16">
        <v>25</v>
      </c>
      <c r="AB912" s="16">
        <v>0</v>
      </c>
      <c r="AC912" s="16"/>
      <c r="AD912" s="68"/>
      <c r="AE912" s="23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</row>
    <row r="913" spans="1:84" s="2" customFormat="1" ht="20" x14ac:dyDescent="0.2">
      <c r="A913" s="17" t="s">
        <v>3921</v>
      </c>
      <c r="B913" s="17" t="s">
        <v>45</v>
      </c>
      <c r="C913" s="17">
        <v>2025</v>
      </c>
      <c r="D913" s="17" t="str">
        <f t="array" ref="D913">_xlfn.SWITCH(E913,"Jatikalen","35.18.20","Kertosono", "35.18.08","Lengkong","35.18.19","Loceret","35.18.04","Tanjunganom","35.18.11","Wilangan","35.18.15")</f>
        <v>35.18.11</v>
      </c>
      <c r="E913" s="16" t="s">
        <v>60</v>
      </c>
      <c r="F913" s="33" t="s">
        <v>2179</v>
      </c>
      <c r="G913" s="33" t="s">
        <v>2065</v>
      </c>
      <c r="H913" s="16" t="s">
        <v>31</v>
      </c>
      <c r="I913" s="16">
        <v>2</v>
      </c>
      <c r="J913" s="16">
        <v>0</v>
      </c>
      <c r="K913" s="16">
        <f t="shared" si="16"/>
        <v>2</v>
      </c>
      <c r="L913" s="38">
        <v>5000000</v>
      </c>
      <c r="M913" s="17" t="s">
        <v>2181</v>
      </c>
      <c r="N913" s="38">
        <v>400</v>
      </c>
      <c r="O913" s="16" t="s">
        <v>2185</v>
      </c>
      <c r="P913" s="30">
        <v>62400000</v>
      </c>
      <c r="Q913" s="33" t="s">
        <v>2182</v>
      </c>
      <c r="R913" s="38">
        <v>5</v>
      </c>
      <c r="S913" s="16" t="s">
        <v>2183</v>
      </c>
      <c r="T913" s="30">
        <v>12000000</v>
      </c>
      <c r="U913" s="16" t="s">
        <v>22</v>
      </c>
      <c r="V913" s="16"/>
      <c r="W913" s="16"/>
      <c r="X913" s="16"/>
      <c r="Y913" s="16">
        <v>70</v>
      </c>
      <c r="Z913" s="16">
        <v>30</v>
      </c>
      <c r="AA913" s="16">
        <v>0</v>
      </c>
      <c r="AB913" s="16">
        <v>0</v>
      </c>
      <c r="AC913" s="16"/>
      <c r="AD913" s="68"/>
      <c r="AE913" s="23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</row>
    <row r="914" spans="1:84" s="2" customFormat="1" ht="20" x14ac:dyDescent="0.2">
      <c r="A914" s="17" t="s">
        <v>3921</v>
      </c>
      <c r="B914" s="17" t="s">
        <v>45</v>
      </c>
      <c r="C914" s="17">
        <v>2025</v>
      </c>
      <c r="D914" s="17" t="str">
        <f t="array" ref="D914">_xlfn.SWITCH(E914,"Jatikalen","35.18.20","Kertosono", "35.18.08","Lengkong","35.18.19","Loceret","35.18.04","Tanjunganom","35.18.11","Wilangan","35.18.15")</f>
        <v>35.18.11</v>
      </c>
      <c r="E914" s="16" t="s">
        <v>60</v>
      </c>
      <c r="F914" s="33" t="s">
        <v>2179</v>
      </c>
      <c r="G914" s="33" t="s">
        <v>2190</v>
      </c>
      <c r="H914" s="16" t="s">
        <v>31</v>
      </c>
      <c r="I914" s="16">
        <v>1</v>
      </c>
      <c r="J914" s="16">
        <v>0</v>
      </c>
      <c r="K914" s="16">
        <f t="shared" si="16"/>
        <v>1</v>
      </c>
      <c r="L914" s="38">
        <v>5000000</v>
      </c>
      <c r="M914" s="17" t="s">
        <v>2181</v>
      </c>
      <c r="N914" s="38">
        <v>300</v>
      </c>
      <c r="O914" s="16" t="s">
        <v>2185</v>
      </c>
      <c r="P914" s="30">
        <v>46800000</v>
      </c>
      <c r="Q914" s="33" t="s">
        <v>2182</v>
      </c>
      <c r="R914" s="38">
        <v>5</v>
      </c>
      <c r="S914" s="16" t="s">
        <v>2183</v>
      </c>
      <c r="T914" s="30">
        <v>12000000</v>
      </c>
      <c r="U914" s="16" t="s">
        <v>22</v>
      </c>
      <c r="V914" s="16"/>
      <c r="W914" s="16"/>
      <c r="X914" s="16"/>
      <c r="Y914" s="16">
        <v>60</v>
      </c>
      <c r="Z914" s="16">
        <v>40</v>
      </c>
      <c r="AA914" s="16">
        <v>0</v>
      </c>
      <c r="AB914" s="16">
        <v>0</v>
      </c>
      <c r="AC914" s="16"/>
      <c r="AD914" s="68"/>
      <c r="AE914" s="23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</row>
    <row r="915" spans="1:84" s="2" customFormat="1" ht="20" x14ac:dyDescent="0.2">
      <c r="A915" s="17" t="s">
        <v>3921</v>
      </c>
      <c r="B915" s="17" t="s">
        <v>45</v>
      </c>
      <c r="C915" s="17">
        <v>2025</v>
      </c>
      <c r="D915" s="17" t="str">
        <f t="array" ref="D915">_xlfn.SWITCH(E915,"Jatikalen","35.18.20","Kertosono", "35.18.08","Lengkong","35.18.19","Loceret","35.18.04","Tanjunganom","35.18.11","Wilangan","35.18.15")</f>
        <v>35.18.11</v>
      </c>
      <c r="E915" s="16" t="s">
        <v>60</v>
      </c>
      <c r="F915" s="33" t="s">
        <v>2179</v>
      </c>
      <c r="G915" s="33" t="s">
        <v>2191</v>
      </c>
      <c r="H915" s="16" t="s">
        <v>31</v>
      </c>
      <c r="I915" s="16">
        <v>1</v>
      </c>
      <c r="J915" s="16">
        <v>1</v>
      </c>
      <c r="K915" s="16">
        <f t="shared" si="16"/>
        <v>2</v>
      </c>
      <c r="L915" s="38">
        <v>5000000</v>
      </c>
      <c r="M915" s="17" t="s">
        <v>2181</v>
      </c>
      <c r="N915" s="38">
        <v>400</v>
      </c>
      <c r="O915" s="16" t="s">
        <v>2185</v>
      </c>
      <c r="P915" s="30">
        <v>62400000</v>
      </c>
      <c r="Q915" s="33" t="s">
        <v>2182</v>
      </c>
      <c r="R915" s="38">
        <v>6</v>
      </c>
      <c r="S915" s="16" t="s">
        <v>2183</v>
      </c>
      <c r="T915" s="30">
        <v>14400000</v>
      </c>
      <c r="U915" s="16" t="s">
        <v>22</v>
      </c>
      <c r="V915" s="16"/>
      <c r="W915" s="16"/>
      <c r="X915" s="16"/>
      <c r="Y915" s="16">
        <v>65</v>
      </c>
      <c r="Z915" s="16">
        <v>35</v>
      </c>
      <c r="AA915" s="16">
        <v>0</v>
      </c>
      <c r="AB915" s="16">
        <v>0</v>
      </c>
      <c r="AC915" s="16"/>
      <c r="AD915" s="68"/>
      <c r="AE915" s="23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</row>
    <row r="916" spans="1:84" s="2" customFormat="1" x14ac:dyDescent="0.2">
      <c r="A916" s="17" t="s">
        <v>3921</v>
      </c>
      <c r="B916" s="17" t="s">
        <v>45</v>
      </c>
      <c r="C916" s="17">
        <v>2025</v>
      </c>
      <c r="D916" s="17" t="str">
        <f t="array" ref="D916">_xlfn.SWITCH(E916,"Bagor","35.18.14","Sukomoro",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16" s="16" t="s">
        <v>114</v>
      </c>
      <c r="F916" s="33" t="s">
        <v>2192</v>
      </c>
      <c r="G916" s="33" t="s">
        <v>2193</v>
      </c>
      <c r="H916" s="16" t="s">
        <v>31</v>
      </c>
      <c r="I916" s="16">
        <v>2</v>
      </c>
      <c r="J916" s="16">
        <v>1</v>
      </c>
      <c r="K916" s="16">
        <f t="shared" si="16"/>
        <v>3</v>
      </c>
      <c r="L916" s="38">
        <v>1500000</v>
      </c>
      <c r="M916" s="17" t="s">
        <v>285</v>
      </c>
      <c r="N916" s="38">
        <v>300</v>
      </c>
      <c r="O916" s="16" t="s">
        <v>2185</v>
      </c>
      <c r="P916" s="30">
        <v>56160000</v>
      </c>
      <c r="Q916" s="33" t="s">
        <v>2182</v>
      </c>
      <c r="R916" s="38">
        <v>2</v>
      </c>
      <c r="S916" s="16" t="s">
        <v>2194</v>
      </c>
      <c r="T916" s="30">
        <v>4800000</v>
      </c>
      <c r="U916" s="16" t="s">
        <v>22</v>
      </c>
      <c r="V916" s="16"/>
      <c r="W916" s="16"/>
      <c r="X916" s="16"/>
      <c r="Y916" s="16">
        <v>60</v>
      </c>
      <c r="Z916" s="16">
        <v>40</v>
      </c>
      <c r="AA916" s="16">
        <v>0</v>
      </c>
      <c r="AB916" s="16">
        <v>0</v>
      </c>
      <c r="AC916" s="16"/>
      <c r="AD916" s="68"/>
      <c r="AE916" s="23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</row>
    <row r="917" spans="1:84" s="2" customFormat="1" x14ac:dyDescent="0.2">
      <c r="A917" s="17" t="s">
        <v>3921</v>
      </c>
      <c r="B917" s="17" t="s">
        <v>45</v>
      </c>
      <c r="C917" s="17">
        <v>2025</v>
      </c>
      <c r="D917" s="17" t="str">
        <f t="array" ref="D917">_xlfn.SWITCH(E917,"Bagor","35.18.14","Sukomoro",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17" s="16" t="s">
        <v>114</v>
      </c>
      <c r="F917" s="33" t="s">
        <v>2192</v>
      </c>
      <c r="G917" s="33" t="s">
        <v>2195</v>
      </c>
      <c r="H917" s="16" t="s">
        <v>31</v>
      </c>
      <c r="I917" s="16">
        <v>2</v>
      </c>
      <c r="J917" s="16">
        <v>1</v>
      </c>
      <c r="K917" s="16">
        <f t="shared" si="16"/>
        <v>3</v>
      </c>
      <c r="L917" s="38">
        <v>3500000</v>
      </c>
      <c r="M917" s="17" t="s">
        <v>285</v>
      </c>
      <c r="N917" s="38">
        <v>1500</v>
      </c>
      <c r="O917" s="16" t="s">
        <v>2185</v>
      </c>
      <c r="P917" s="30">
        <v>280800000</v>
      </c>
      <c r="Q917" s="33" t="s">
        <v>2182</v>
      </c>
      <c r="R917" s="38">
        <v>8</v>
      </c>
      <c r="S917" s="16" t="s">
        <v>2194</v>
      </c>
      <c r="T917" s="30">
        <v>19200000</v>
      </c>
      <c r="U917" s="16" t="s">
        <v>22</v>
      </c>
      <c r="V917" s="16"/>
      <c r="W917" s="16"/>
      <c r="X917" s="16"/>
      <c r="Y917" s="16">
        <v>55</v>
      </c>
      <c r="Z917" s="16">
        <v>45</v>
      </c>
      <c r="AA917" s="16">
        <v>0</v>
      </c>
      <c r="AB917" s="16">
        <v>0</v>
      </c>
      <c r="AC917" s="16"/>
      <c r="AD917" s="68"/>
      <c r="AE917" s="23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</row>
    <row r="918" spans="1:84" s="2" customFormat="1" x14ac:dyDescent="0.2">
      <c r="A918" s="17" t="s">
        <v>3921</v>
      </c>
      <c r="B918" s="17" t="s">
        <v>45</v>
      </c>
      <c r="C918" s="17">
        <v>2025</v>
      </c>
      <c r="D918" s="17" t="str">
        <f t="array" ref="D918">_xlfn.SWITCH(E918,"Bagor","35.18.14","Sukomoro",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18" s="16" t="s">
        <v>114</v>
      </c>
      <c r="F918" s="33" t="s">
        <v>2192</v>
      </c>
      <c r="G918" s="33" t="s">
        <v>2196</v>
      </c>
      <c r="H918" s="16" t="s">
        <v>31</v>
      </c>
      <c r="I918" s="16">
        <v>1</v>
      </c>
      <c r="J918" s="16">
        <v>0</v>
      </c>
      <c r="K918" s="16">
        <f t="shared" si="16"/>
        <v>1</v>
      </c>
      <c r="L918" s="38">
        <v>3500000</v>
      </c>
      <c r="M918" s="17" t="s">
        <v>285</v>
      </c>
      <c r="N918" s="38">
        <v>100</v>
      </c>
      <c r="O918" s="16" t="s">
        <v>2185</v>
      </c>
      <c r="P918" s="30">
        <v>18720000</v>
      </c>
      <c r="Q918" s="33" t="s">
        <v>2182</v>
      </c>
      <c r="R918" s="38">
        <v>2</v>
      </c>
      <c r="S918" s="16" t="s">
        <v>2194</v>
      </c>
      <c r="T918" s="30">
        <v>4800000</v>
      </c>
      <c r="U918" s="16" t="s">
        <v>22</v>
      </c>
      <c r="V918" s="16"/>
      <c r="W918" s="16"/>
      <c r="X918" s="16"/>
      <c r="Y918" s="16">
        <v>60</v>
      </c>
      <c r="Z918" s="16">
        <v>40</v>
      </c>
      <c r="AA918" s="16">
        <v>0</v>
      </c>
      <c r="AB918" s="16">
        <v>0</v>
      </c>
      <c r="AC918" s="16"/>
      <c r="AD918" s="68"/>
      <c r="AE918" s="23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</row>
    <row r="919" spans="1:84" s="2" customFormat="1" x14ac:dyDescent="0.2">
      <c r="A919" s="17" t="s">
        <v>3921</v>
      </c>
      <c r="B919" s="17" t="s">
        <v>45</v>
      </c>
      <c r="C919" s="17">
        <v>2025</v>
      </c>
      <c r="D919" s="17" t="str">
        <f t="array" ref="D919">_xlfn.SWITCH(E919,"Bagor","35.18.14","Sukomoro",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19" s="16" t="s">
        <v>114</v>
      </c>
      <c r="F919" s="33" t="s">
        <v>2192</v>
      </c>
      <c r="G919" s="33" t="s">
        <v>2197</v>
      </c>
      <c r="H919" s="16" t="s">
        <v>31</v>
      </c>
      <c r="I919" s="16">
        <v>2</v>
      </c>
      <c r="J919" s="16">
        <v>0</v>
      </c>
      <c r="K919" s="16">
        <f t="shared" si="16"/>
        <v>2</v>
      </c>
      <c r="L919" s="38">
        <v>20000000</v>
      </c>
      <c r="M919" s="17" t="s">
        <v>285</v>
      </c>
      <c r="N919" s="38">
        <v>250</v>
      </c>
      <c r="O919" s="16" t="s">
        <v>2185</v>
      </c>
      <c r="P919" s="30">
        <v>46800000</v>
      </c>
      <c r="Q919" s="33" t="s">
        <v>2182</v>
      </c>
      <c r="R919" s="38">
        <v>3</v>
      </c>
      <c r="S919" s="16" t="s">
        <v>2194</v>
      </c>
      <c r="T919" s="30">
        <v>7200000</v>
      </c>
      <c r="U919" s="16" t="s">
        <v>22</v>
      </c>
      <c r="V919" s="16"/>
      <c r="W919" s="16"/>
      <c r="X919" s="16"/>
      <c r="Y919" s="16">
        <v>100</v>
      </c>
      <c r="Z919" s="16">
        <v>0</v>
      </c>
      <c r="AA919" s="16">
        <v>0</v>
      </c>
      <c r="AB919" s="16">
        <v>0</v>
      </c>
      <c r="AC919" s="16"/>
      <c r="AD919" s="68"/>
      <c r="AE919" s="23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</row>
    <row r="920" spans="1:84" s="2" customFormat="1" x14ac:dyDescent="0.2">
      <c r="A920" s="17" t="s">
        <v>3921</v>
      </c>
      <c r="B920" s="17" t="s">
        <v>45</v>
      </c>
      <c r="C920" s="17">
        <v>2025</v>
      </c>
      <c r="D920" s="17" t="str">
        <f t="array" ref="D920">_xlfn.SWITCH(E920,"Bagor","35.18.14","Sukomoro",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0" s="16" t="s">
        <v>114</v>
      </c>
      <c r="F920" s="33" t="s">
        <v>2192</v>
      </c>
      <c r="G920" s="33" t="s">
        <v>2193</v>
      </c>
      <c r="H920" s="16" t="s">
        <v>31</v>
      </c>
      <c r="I920" s="16">
        <v>3</v>
      </c>
      <c r="J920" s="16">
        <v>0</v>
      </c>
      <c r="K920" s="16">
        <f t="shared" si="16"/>
        <v>3</v>
      </c>
      <c r="L920" s="38">
        <v>3000000</v>
      </c>
      <c r="M920" s="17" t="s">
        <v>285</v>
      </c>
      <c r="N920" s="38">
        <v>250</v>
      </c>
      <c r="O920" s="16" t="s">
        <v>2185</v>
      </c>
      <c r="P920" s="30">
        <v>46800000</v>
      </c>
      <c r="Q920" s="33" t="s">
        <v>2198</v>
      </c>
      <c r="R920" s="38">
        <v>4</v>
      </c>
      <c r="S920" s="16" t="s">
        <v>1398</v>
      </c>
      <c r="T920" s="30">
        <v>9600000</v>
      </c>
      <c r="U920" s="16" t="s">
        <v>22</v>
      </c>
      <c r="V920" s="16"/>
      <c r="W920" s="16"/>
      <c r="X920" s="16"/>
      <c r="Y920" s="16">
        <v>70</v>
      </c>
      <c r="Z920" s="16">
        <v>30</v>
      </c>
      <c r="AA920" s="16">
        <v>0</v>
      </c>
      <c r="AB920" s="16">
        <v>0</v>
      </c>
      <c r="AC920" s="16"/>
      <c r="AD920" s="68"/>
      <c r="AE920" s="23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</row>
    <row r="921" spans="1:84" s="2" customFormat="1" x14ac:dyDescent="0.2">
      <c r="A921" s="17" t="s">
        <v>3921</v>
      </c>
      <c r="B921" s="17" t="s">
        <v>45</v>
      </c>
      <c r="C921" s="17">
        <v>2025</v>
      </c>
      <c r="D921" s="17" t="str">
        <f t="array" ref="D921">_xlfn.SWITCH(E921,"Bagor","35.18.14","Sukomoro",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1" s="16" t="s">
        <v>114</v>
      </c>
      <c r="F921" s="33" t="s">
        <v>2192</v>
      </c>
      <c r="G921" s="33" t="s">
        <v>2199</v>
      </c>
      <c r="H921" s="16" t="s">
        <v>31</v>
      </c>
      <c r="I921" s="16">
        <v>2</v>
      </c>
      <c r="J921" s="16">
        <v>1</v>
      </c>
      <c r="K921" s="16">
        <f t="shared" si="16"/>
        <v>3</v>
      </c>
      <c r="L921" s="38">
        <v>2500000</v>
      </c>
      <c r="M921" s="17" t="s">
        <v>285</v>
      </c>
      <c r="N921" s="38">
        <v>300</v>
      </c>
      <c r="O921" s="16" t="s">
        <v>2185</v>
      </c>
      <c r="P921" s="30">
        <v>56160000</v>
      </c>
      <c r="Q921" s="33" t="s">
        <v>2171</v>
      </c>
      <c r="R921" s="38">
        <v>2</v>
      </c>
      <c r="S921" s="16" t="s">
        <v>1398</v>
      </c>
      <c r="T921" s="30">
        <v>4800000</v>
      </c>
      <c r="U921" s="16" t="s">
        <v>22</v>
      </c>
      <c r="V921" s="16"/>
      <c r="W921" s="16"/>
      <c r="X921" s="16"/>
      <c r="Y921" s="16">
        <v>60</v>
      </c>
      <c r="Z921" s="16">
        <v>40</v>
      </c>
      <c r="AA921" s="16">
        <v>0</v>
      </c>
      <c r="AB921" s="16">
        <v>0</v>
      </c>
      <c r="AC921" s="16"/>
      <c r="AD921" s="68"/>
      <c r="AE921" s="23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</row>
    <row r="922" spans="1:84" s="2" customFormat="1" x14ac:dyDescent="0.2">
      <c r="A922" s="17" t="s">
        <v>3921</v>
      </c>
      <c r="B922" s="17" t="s">
        <v>45</v>
      </c>
      <c r="C922" s="17">
        <v>2025</v>
      </c>
      <c r="D922" s="17" t="str">
        <f t="array" ref="D922">_xlfn.SWITCH(E922,"Bagor","35.18.14","Sukomoro",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2" s="16" t="s">
        <v>114</v>
      </c>
      <c r="F922" s="33" t="s">
        <v>2192</v>
      </c>
      <c r="G922" s="33" t="s">
        <v>2197</v>
      </c>
      <c r="H922" s="16" t="s">
        <v>31</v>
      </c>
      <c r="I922" s="16">
        <v>1</v>
      </c>
      <c r="J922" s="16">
        <v>2</v>
      </c>
      <c r="K922" s="16">
        <f t="shared" si="16"/>
        <v>3</v>
      </c>
      <c r="L922" s="38">
        <v>2500000</v>
      </c>
      <c r="M922" s="17" t="s">
        <v>285</v>
      </c>
      <c r="N922" s="38">
        <v>300</v>
      </c>
      <c r="O922" s="16" t="s">
        <v>2185</v>
      </c>
      <c r="P922" s="30">
        <v>56160000</v>
      </c>
      <c r="Q922" s="33" t="s">
        <v>2200</v>
      </c>
      <c r="R922" s="38">
        <v>2</v>
      </c>
      <c r="S922" s="16" t="s">
        <v>2201</v>
      </c>
      <c r="T922" s="30">
        <v>4800000</v>
      </c>
      <c r="U922" s="16" t="s">
        <v>22</v>
      </c>
      <c r="V922" s="16"/>
      <c r="W922" s="16"/>
      <c r="X922" s="16"/>
      <c r="Y922" s="16">
        <v>70</v>
      </c>
      <c r="Z922" s="16">
        <v>30</v>
      </c>
      <c r="AA922" s="16">
        <v>0</v>
      </c>
      <c r="AB922" s="16">
        <v>0</v>
      </c>
      <c r="AC922" s="16"/>
      <c r="AD922" s="68"/>
      <c r="AE922" s="23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</row>
    <row r="923" spans="1:84" s="2" customFormat="1" x14ac:dyDescent="0.2">
      <c r="A923" s="17" t="s">
        <v>3921</v>
      </c>
      <c r="B923" s="17" t="s">
        <v>45</v>
      </c>
      <c r="C923" s="17">
        <v>2025</v>
      </c>
      <c r="D923" s="17" t="str">
        <f t="array" ref="D923">_xlfn.SWITCH(E923,"Bagor","35.18.14","Sukomoro",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3" s="16" t="s">
        <v>114</v>
      </c>
      <c r="F923" s="33" t="s">
        <v>2192</v>
      </c>
      <c r="G923" s="33" t="s">
        <v>2199</v>
      </c>
      <c r="H923" s="16" t="s">
        <v>31</v>
      </c>
      <c r="I923" s="16">
        <v>1</v>
      </c>
      <c r="J923" s="16">
        <v>1</v>
      </c>
      <c r="K923" s="16">
        <f t="shared" si="16"/>
        <v>2</v>
      </c>
      <c r="L923" s="38">
        <v>2500000</v>
      </c>
      <c r="M923" s="17" t="s">
        <v>285</v>
      </c>
      <c r="N923" s="38">
        <v>250</v>
      </c>
      <c r="O923" s="16" t="s">
        <v>2185</v>
      </c>
      <c r="P923" s="30">
        <v>46800000</v>
      </c>
      <c r="Q923" s="33" t="s">
        <v>2200</v>
      </c>
      <c r="R923" s="74">
        <v>2</v>
      </c>
      <c r="S923" s="16" t="s">
        <v>2201</v>
      </c>
      <c r="T923" s="30">
        <v>4800000</v>
      </c>
      <c r="U923" s="16" t="s">
        <v>22</v>
      </c>
      <c r="V923" s="16"/>
      <c r="W923" s="16"/>
      <c r="X923" s="16"/>
      <c r="Y923" s="16">
        <v>65</v>
      </c>
      <c r="Z923" s="16">
        <v>35</v>
      </c>
      <c r="AA923" s="16">
        <v>0</v>
      </c>
      <c r="AB923" s="16">
        <v>0</v>
      </c>
      <c r="AC923" s="16"/>
      <c r="AD923" s="68"/>
      <c r="AE923" s="23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</row>
    <row r="924" spans="1:84" s="2" customFormat="1" x14ac:dyDescent="0.2">
      <c r="A924" s="17" t="s">
        <v>3921</v>
      </c>
      <c r="B924" s="17" t="s">
        <v>45</v>
      </c>
      <c r="C924" s="17">
        <v>2025</v>
      </c>
      <c r="D924" s="17" t="str">
        <f t="array" ref="D924">_xlfn.SWITCH(E924,"Bagor","35.18.14","Sukomoro",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4" s="16" t="s">
        <v>114</v>
      </c>
      <c r="F924" s="33" t="s">
        <v>2192</v>
      </c>
      <c r="G924" s="33" t="s">
        <v>2202</v>
      </c>
      <c r="H924" s="16" t="s">
        <v>31</v>
      </c>
      <c r="I924" s="16">
        <v>2</v>
      </c>
      <c r="J924" s="16">
        <v>1</v>
      </c>
      <c r="K924" s="16">
        <f t="shared" si="16"/>
        <v>3</v>
      </c>
      <c r="L924" s="38">
        <v>1000000</v>
      </c>
      <c r="M924" s="17" t="s">
        <v>285</v>
      </c>
      <c r="N924" s="38">
        <v>300</v>
      </c>
      <c r="O924" s="16" t="s">
        <v>2185</v>
      </c>
      <c r="P924" s="30">
        <v>56160000</v>
      </c>
      <c r="Q924" s="33" t="s">
        <v>2200</v>
      </c>
      <c r="R924" s="38">
        <v>2</v>
      </c>
      <c r="S924" s="16" t="s">
        <v>2201</v>
      </c>
      <c r="T924" s="30">
        <v>4800000</v>
      </c>
      <c r="U924" s="16" t="s">
        <v>22</v>
      </c>
      <c r="V924" s="16"/>
      <c r="W924" s="16"/>
      <c r="X924" s="16"/>
      <c r="Y924" s="16">
        <v>65</v>
      </c>
      <c r="Z924" s="16">
        <v>35</v>
      </c>
      <c r="AA924" s="16">
        <v>0</v>
      </c>
      <c r="AB924" s="16">
        <v>0</v>
      </c>
      <c r="AC924" s="16"/>
      <c r="AD924" s="68"/>
      <c r="AE924" s="23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</row>
    <row r="925" spans="1:84" s="2" customFormat="1" x14ac:dyDescent="0.2">
      <c r="A925" s="17" t="s">
        <v>3921</v>
      </c>
      <c r="B925" s="17" t="s">
        <v>45</v>
      </c>
      <c r="C925" s="17">
        <v>2025</v>
      </c>
      <c r="D925" s="17" t="str">
        <f t="array" ref="D925">_xlfn.SWITCH(E925,"Bagor","35.18.14","Sukomoro",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5" s="16" t="s">
        <v>114</v>
      </c>
      <c r="F925" s="33" t="s">
        <v>2192</v>
      </c>
      <c r="G925" s="33" t="s">
        <v>2193</v>
      </c>
      <c r="H925" s="16" t="s">
        <v>31</v>
      </c>
      <c r="I925" s="16">
        <v>1</v>
      </c>
      <c r="J925" s="16">
        <v>1</v>
      </c>
      <c r="K925" s="16">
        <f t="shared" si="16"/>
        <v>2</v>
      </c>
      <c r="L925" s="38">
        <v>2500000</v>
      </c>
      <c r="M925" s="17" t="s">
        <v>285</v>
      </c>
      <c r="N925" s="38">
        <v>250</v>
      </c>
      <c r="O925" s="16" t="s">
        <v>2185</v>
      </c>
      <c r="P925" s="30">
        <v>46800000</v>
      </c>
      <c r="Q925" s="33" t="s">
        <v>2200</v>
      </c>
      <c r="R925" s="38">
        <v>2</v>
      </c>
      <c r="S925" s="16" t="s">
        <v>2201</v>
      </c>
      <c r="T925" s="30">
        <v>4800000</v>
      </c>
      <c r="U925" s="16" t="s">
        <v>22</v>
      </c>
      <c r="V925" s="16"/>
      <c r="W925" s="16"/>
      <c r="X925" s="16"/>
      <c r="Y925" s="16">
        <v>60</v>
      </c>
      <c r="Z925" s="16">
        <v>40</v>
      </c>
      <c r="AA925" s="16">
        <v>0</v>
      </c>
      <c r="AB925" s="16">
        <v>0</v>
      </c>
      <c r="AC925" s="16"/>
      <c r="AD925" s="68"/>
      <c r="AE925" s="23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</row>
    <row r="926" spans="1:84" s="2" customFormat="1" x14ac:dyDescent="0.2">
      <c r="A926" s="17" t="s">
        <v>3921</v>
      </c>
      <c r="B926" s="17" t="s">
        <v>45</v>
      </c>
      <c r="C926" s="17">
        <v>2025</v>
      </c>
      <c r="D926" s="17" t="str">
        <f t="array" ref="D926">_xlfn.SWITCH(E926,"Bagor","35.18.14","Sukomoro",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6" s="16" t="s">
        <v>114</v>
      </c>
      <c r="F926" s="33" t="s">
        <v>2192</v>
      </c>
      <c r="G926" s="33" t="s">
        <v>2193</v>
      </c>
      <c r="H926" s="16" t="s">
        <v>31</v>
      </c>
      <c r="I926" s="16">
        <v>1</v>
      </c>
      <c r="J926" s="16">
        <v>1</v>
      </c>
      <c r="K926" s="16">
        <f t="shared" si="16"/>
        <v>2</v>
      </c>
      <c r="L926" s="38">
        <v>2000000</v>
      </c>
      <c r="M926" s="17" t="s">
        <v>285</v>
      </c>
      <c r="N926" s="38">
        <v>300</v>
      </c>
      <c r="O926" s="16" t="s">
        <v>2185</v>
      </c>
      <c r="P926" s="30">
        <v>56160000</v>
      </c>
      <c r="Q926" s="33" t="s">
        <v>2200</v>
      </c>
      <c r="R926" s="38">
        <v>2</v>
      </c>
      <c r="S926" s="16" t="s">
        <v>2201</v>
      </c>
      <c r="T926" s="30">
        <v>4800000</v>
      </c>
      <c r="U926" s="16" t="s">
        <v>22</v>
      </c>
      <c r="V926" s="16"/>
      <c r="W926" s="16"/>
      <c r="X926" s="16"/>
      <c r="Y926" s="16">
        <v>55</v>
      </c>
      <c r="Z926" s="16">
        <v>45</v>
      </c>
      <c r="AA926" s="16">
        <v>0</v>
      </c>
      <c r="AB926" s="16">
        <v>0</v>
      </c>
      <c r="AC926" s="16"/>
      <c r="AD926" s="68"/>
      <c r="AE926" s="23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</row>
    <row r="927" spans="1:84" s="2" customFormat="1" x14ac:dyDescent="0.2">
      <c r="A927" s="17" t="s">
        <v>3921</v>
      </c>
      <c r="B927" s="17" t="s">
        <v>45</v>
      </c>
      <c r="C927" s="17">
        <v>2025</v>
      </c>
      <c r="D927" s="17" t="str">
        <f t="array" ref="D927">_xlfn.SWITCH(E927,"Bagor","35.18.14","Sukomoro",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7" s="16" t="s">
        <v>114</v>
      </c>
      <c r="F927" s="33" t="s">
        <v>2192</v>
      </c>
      <c r="G927" s="33" t="s">
        <v>2193</v>
      </c>
      <c r="H927" s="16" t="s">
        <v>31</v>
      </c>
      <c r="I927" s="16">
        <v>1</v>
      </c>
      <c r="J927" s="16">
        <v>1</v>
      </c>
      <c r="K927" s="16">
        <f t="shared" si="16"/>
        <v>2</v>
      </c>
      <c r="L927" s="38">
        <v>2000000</v>
      </c>
      <c r="M927" s="17" t="s">
        <v>285</v>
      </c>
      <c r="N927" s="38">
        <v>300</v>
      </c>
      <c r="O927" s="16" t="s">
        <v>2185</v>
      </c>
      <c r="P927" s="30">
        <v>56160000</v>
      </c>
      <c r="Q927" s="33" t="s">
        <v>2200</v>
      </c>
      <c r="R927" s="38">
        <v>2</v>
      </c>
      <c r="S927" s="16" t="s">
        <v>2201</v>
      </c>
      <c r="T927" s="30">
        <v>4800000</v>
      </c>
      <c r="U927" s="16" t="s">
        <v>22</v>
      </c>
      <c r="V927" s="16"/>
      <c r="W927" s="16"/>
      <c r="X927" s="16"/>
      <c r="Y927" s="16">
        <v>70</v>
      </c>
      <c r="Z927" s="16">
        <v>30</v>
      </c>
      <c r="AA927" s="16">
        <v>0</v>
      </c>
      <c r="AB927" s="16">
        <v>0</v>
      </c>
      <c r="AC927" s="16"/>
      <c r="AD927" s="68"/>
      <c r="AE927" s="23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</row>
    <row r="928" spans="1:84" s="2" customFormat="1" ht="20" x14ac:dyDescent="0.2">
      <c r="A928" s="17" t="s">
        <v>3921</v>
      </c>
      <c r="B928" s="17" t="s">
        <v>45</v>
      </c>
      <c r="C928" s="17">
        <v>2025</v>
      </c>
      <c r="D928" s="17" t="str">
        <f t="array" ref="D928">_xlfn.SWITCH(E928,"Jatikalen","35.18.20","Kertosono", "35.18.08","Lengkong","35.18.19","Loceret","35.18.04","Tanjunganom","35.18.11","Wilangan","35.18.15")</f>
        <v>35.18.11</v>
      </c>
      <c r="E928" s="16" t="s">
        <v>60</v>
      </c>
      <c r="F928" s="33" t="s">
        <v>2203</v>
      </c>
      <c r="G928" s="33" t="s">
        <v>1747</v>
      </c>
      <c r="H928" s="16" t="s">
        <v>31</v>
      </c>
      <c r="I928" s="16">
        <v>1</v>
      </c>
      <c r="J928" s="16">
        <v>1</v>
      </c>
      <c r="K928" s="16">
        <f t="shared" si="16"/>
        <v>2</v>
      </c>
      <c r="L928" s="38">
        <v>2000000</v>
      </c>
      <c r="M928" s="17" t="s">
        <v>1951</v>
      </c>
      <c r="N928" s="38">
        <v>300</v>
      </c>
      <c r="O928" s="16" t="s">
        <v>2185</v>
      </c>
      <c r="P928" s="30">
        <v>46800000</v>
      </c>
      <c r="Q928" s="33" t="s">
        <v>286</v>
      </c>
      <c r="R928" s="38">
        <v>1</v>
      </c>
      <c r="S928" s="16" t="s">
        <v>2183</v>
      </c>
      <c r="T928" s="30">
        <v>3000000</v>
      </c>
      <c r="U928" s="16" t="s">
        <v>22</v>
      </c>
      <c r="V928" s="16"/>
      <c r="W928" s="16"/>
      <c r="X928" s="16"/>
      <c r="Y928" s="16">
        <v>65</v>
      </c>
      <c r="Z928" s="16">
        <v>35</v>
      </c>
      <c r="AA928" s="16">
        <v>0</v>
      </c>
      <c r="AB928" s="16">
        <v>0</v>
      </c>
      <c r="AC928" s="16"/>
      <c r="AD928" s="68"/>
      <c r="AE928" s="23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</row>
    <row r="929" spans="1:84" s="2" customFormat="1" ht="20" x14ac:dyDescent="0.2">
      <c r="A929" s="17" t="s">
        <v>3921</v>
      </c>
      <c r="B929" s="17" t="s">
        <v>45</v>
      </c>
      <c r="C929" s="17">
        <v>2025</v>
      </c>
      <c r="D929" s="17" t="str">
        <f t="array" ref="D929">_xlfn.SWITCH(E929,"Jatikalen","35.18.20","Kertosono", "35.18.08","Lengkong","35.18.19","Loceret","35.18.04","Tanjunganom","35.18.11","Wilangan","35.18.15")</f>
        <v>35.18.11</v>
      </c>
      <c r="E929" s="16" t="s">
        <v>60</v>
      </c>
      <c r="F929" s="33" t="s">
        <v>2203</v>
      </c>
      <c r="G929" s="33" t="s">
        <v>2204</v>
      </c>
      <c r="H929" s="16" t="s">
        <v>31</v>
      </c>
      <c r="I929" s="16">
        <v>2</v>
      </c>
      <c r="J929" s="16">
        <v>0</v>
      </c>
      <c r="K929" s="16">
        <f t="shared" si="16"/>
        <v>2</v>
      </c>
      <c r="L929" s="38">
        <v>800000</v>
      </c>
      <c r="M929" s="17" t="s">
        <v>2205</v>
      </c>
      <c r="N929" s="38">
        <v>400</v>
      </c>
      <c r="O929" s="16" t="s">
        <v>2185</v>
      </c>
      <c r="P929" s="30">
        <v>62400000</v>
      </c>
      <c r="Q929" s="33" t="s">
        <v>286</v>
      </c>
      <c r="R929" s="38">
        <v>2</v>
      </c>
      <c r="S929" s="16" t="s">
        <v>2183</v>
      </c>
      <c r="T929" s="30">
        <v>6000000</v>
      </c>
      <c r="U929" s="16" t="s">
        <v>22</v>
      </c>
      <c r="V929" s="16"/>
      <c r="W929" s="16"/>
      <c r="X929" s="16"/>
      <c r="Y929" s="16">
        <v>70</v>
      </c>
      <c r="Z929" s="16">
        <v>30</v>
      </c>
      <c r="AA929" s="16">
        <v>0</v>
      </c>
      <c r="AB929" s="16">
        <v>0</v>
      </c>
      <c r="AC929" s="16"/>
      <c r="AD929" s="68"/>
      <c r="AE929" s="23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</row>
    <row r="930" spans="1:84" s="2" customFormat="1" x14ac:dyDescent="0.2">
      <c r="A930" s="17" t="s">
        <v>3921</v>
      </c>
      <c r="B930" s="17" t="s">
        <v>45</v>
      </c>
      <c r="C930" s="17">
        <v>2025</v>
      </c>
      <c r="D930" s="17" t="str">
        <f t="array" ref="D930">_xlfn.SWITCH(E930,"Bagor","35.18.14","Sukomoro",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30" s="16" t="s">
        <v>29</v>
      </c>
      <c r="F930" s="33" t="s">
        <v>2206</v>
      </c>
      <c r="G930" s="33" t="s">
        <v>2207</v>
      </c>
      <c r="H930" s="16" t="s">
        <v>47</v>
      </c>
      <c r="I930" s="16">
        <v>8</v>
      </c>
      <c r="J930" s="16">
        <v>0</v>
      </c>
      <c r="K930" s="16">
        <f t="shared" si="16"/>
        <v>8</v>
      </c>
      <c r="L930" s="38">
        <v>35000000</v>
      </c>
      <c r="M930" s="17" t="s">
        <v>2208</v>
      </c>
      <c r="N930" s="38">
        <v>10</v>
      </c>
      <c r="O930" s="16" t="s">
        <v>2209</v>
      </c>
      <c r="P930" s="30">
        <v>120000000</v>
      </c>
      <c r="Q930" s="33" t="s">
        <v>1680</v>
      </c>
      <c r="R930" s="38">
        <v>120</v>
      </c>
      <c r="S930" s="16" t="s">
        <v>69</v>
      </c>
      <c r="T930" s="30">
        <v>66000000</v>
      </c>
      <c r="U930" s="16" t="s">
        <v>22</v>
      </c>
      <c r="V930" s="16"/>
      <c r="W930" s="16"/>
      <c r="X930" s="16"/>
      <c r="Y930" s="16">
        <v>75</v>
      </c>
      <c r="Z930" s="16">
        <v>25</v>
      </c>
      <c r="AA930" s="16">
        <v>0</v>
      </c>
      <c r="AB930" s="16">
        <v>0</v>
      </c>
      <c r="AC930" s="16"/>
      <c r="AD930" s="68"/>
      <c r="AE930" s="23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</row>
    <row r="931" spans="1:84" s="2" customFormat="1" x14ac:dyDescent="0.2">
      <c r="A931" s="17" t="s">
        <v>3921</v>
      </c>
      <c r="B931" s="17" t="s">
        <v>45</v>
      </c>
      <c r="C931" s="17">
        <v>2025</v>
      </c>
      <c r="D931" s="17" t="str">
        <f t="array" ref="D931">_xlfn.SWITCH(E931,"Bagor","35.18.14","Sukomoro",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1" s="16" t="s">
        <v>114</v>
      </c>
      <c r="F931" s="33" t="s">
        <v>2192</v>
      </c>
      <c r="G931" s="33" t="s">
        <v>2210</v>
      </c>
      <c r="H931" s="16" t="s">
        <v>31</v>
      </c>
      <c r="I931" s="16">
        <v>1</v>
      </c>
      <c r="J931" s="16">
        <v>1</v>
      </c>
      <c r="K931" s="16">
        <f t="shared" si="16"/>
        <v>2</v>
      </c>
      <c r="L931" s="38">
        <v>2000000</v>
      </c>
      <c r="M931" s="17" t="s">
        <v>285</v>
      </c>
      <c r="N931" s="38">
        <v>300</v>
      </c>
      <c r="O931" s="16" t="s">
        <v>2185</v>
      </c>
      <c r="P931" s="30">
        <v>56160000</v>
      </c>
      <c r="Q931" s="33" t="s">
        <v>2200</v>
      </c>
      <c r="R931" s="38">
        <v>2</v>
      </c>
      <c r="S931" s="16" t="s">
        <v>2201</v>
      </c>
      <c r="T931" s="30">
        <v>6000000</v>
      </c>
      <c r="U931" s="16" t="s">
        <v>22</v>
      </c>
      <c r="V931" s="16"/>
      <c r="W931" s="16"/>
      <c r="X931" s="16"/>
      <c r="Y931" s="16">
        <v>75</v>
      </c>
      <c r="Z931" s="16">
        <v>25</v>
      </c>
      <c r="AA931" s="16">
        <v>0</v>
      </c>
      <c r="AB931" s="16">
        <v>0</v>
      </c>
      <c r="AC931" s="16"/>
      <c r="AD931" s="68"/>
      <c r="AE931" s="23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</row>
    <row r="932" spans="1:84" s="2" customFormat="1" x14ac:dyDescent="0.2">
      <c r="A932" s="17" t="s">
        <v>3921</v>
      </c>
      <c r="B932" s="17" t="s">
        <v>45</v>
      </c>
      <c r="C932" s="17">
        <v>2025</v>
      </c>
      <c r="D932" s="17" t="str">
        <f t="array" ref="D932">_xlfn.SWITCH(E932,"Bagor","35.18.14","Sukomoro",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2" s="16" t="s">
        <v>114</v>
      </c>
      <c r="F932" s="33" t="s">
        <v>2192</v>
      </c>
      <c r="G932" s="33" t="s">
        <v>2211</v>
      </c>
      <c r="H932" s="16" t="s">
        <v>31</v>
      </c>
      <c r="I932" s="16">
        <v>2</v>
      </c>
      <c r="J932" s="16">
        <v>2</v>
      </c>
      <c r="K932" s="16">
        <f t="shared" si="16"/>
        <v>4</v>
      </c>
      <c r="L932" s="38">
        <v>2500000</v>
      </c>
      <c r="M932" s="17" t="s">
        <v>285</v>
      </c>
      <c r="N932" s="38">
        <v>500</v>
      </c>
      <c r="O932" s="16" t="s">
        <v>2185</v>
      </c>
      <c r="P932" s="30">
        <v>93600000</v>
      </c>
      <c r="Q932" s="33" t="s">
        <v>2200</v>
      </c>
      <c r="R932" s="38">
        <v>2</v>
      </c>
      <c r="S932" s="16" t="s">
        <v>2201</v>
      </c>
      <c r="T932" s="30">
        <v>6000000</v>
      </c>
      <c r="U932" s="16" t="s">
        <v>22</v>
      </c>
      <c r="V932" s="16"/>
      <c r="W932" s="16"/>
      <c r="X932" s="16"/>
      <c r="Y932" s="16">
        <v>65</v>
      </c>
      <c r="Z932" s="16">
        <v>35</v>
      </c>
      <c r="AA932" s="16">
        <v>0</v>
      </c>
      <c r="AB932" s="16">
        <v>0</v>
      </c>
      <c r="AC932" s="16"/>
      <c r="AD932" s="68"/>
      <c r="AE932" s="23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</row>
    <row r="933" spans="1:84" s="2" customFormat="1" x14ac:dyDescent="0.2">
      <c r="A933" s="17" t="s">
        <v>3921</v>
      </c>
      <c r="B933" s="17" t="s">
        <v>45</v>
      </c>
      <c r="C933" s="17">
        <v>2025</v>
      </c>
      <c r="D933" s="17" t="str">
        <f t="array" ref="D933">_xlfn.SWITCH(E933,"Bagor","35.18.14","Sukomoro",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3" s="16" t="s">
        <v>114</v>
      </c>
      <c r="F933" s="33" t="s">
        <v>2192</v>
      </c>
      <c r="G933" s="33" t="s">
        <v>2212</v>
      </c>
      <c r="H933" s="16" t="s">
        <v>31</v>
      </c>
      <c r="I933" s="16">
        <v>1</v>
      </c>
      <c r="J933" s="16">
        <v>0</v>
      </c>
      <c r="K933" s="16">
        <f t="shared" si="16"/>
        <v>1</v>
      </c>
      <c r="L933" s="38">
        <v>5000000</v>
      </c>
      <c r="M933" s="17" t="s">
        <v>285</v>
      </c>
      <c r="N933" s="38">
        <v>250</v>
      </c>
      <c r="O933" s="16" t="s">
        <v>2185</v>
      </c>
      <c r="P933" s="30">
        <v>46800000</v>
      </c>
      <c r="Q933" s="33" t="s">
        <v>2200</v>
      </c>
      <c r="R933" s="38">
        <v>2</v>
      </c>
      <c r="S933" s="16" t="s">
        <v>2201</v>
      </c>
      <c r="T933" s="30">
        <v>6000000</v>
      </c>
      <c r="U933" s="16" t="s">
        <v>22</v>
      </c>
      <c r="V933" s="16"/>
      <c r="W933" s="16"/>
      <c r="X933" s="16"/>
      <c r="Y933" s="16">
        <v>100</v>
      </c>
      <c r="Z933" s="16">
        <v>0</v>
      </c>
      <c r="AA933" s="16">
        <v>0</v>
      </c>
      <c r="AB933" s="16">
        <v>0</v>
      </c>
      <c r="AC933" s="16"/>
      <c r="AD933" s="68"/>
      <c r="AE933" s="23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</row>
    <row r="934" spans="1:84" s="2" customFormat="1" x14ac:dyDescent="0.2">
      <c r="A934" s="17" t="s">
        <v>3921</v>
      </c>
      <c r="B934" s="17" t="s">
        <v>45</v>
      </c>
      <c r="C934" s="17">
        <v>2025</v>
      </c>
      <c r="D934" s="17" t="str">
        <f t="array" ref="D934">_xlfn.SWITCH(E934,"Bagor","35.18.14","Sukomoro",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4" s="16" t="s">
        <v>114</v>
      </c>
      <c r="F934" s="33" t="s">
        <v>2192</v>
      </c>
      <c r="G934" s="33" t="s">
        <v>2202</v>
      </c>
      <c r="H934" s="16" t="s">
        <v>31</v>
      </c>
      <c r="I934" s="16">
        <v>1</v>
      </c>
      <c r="J934" s="16">
        <v>0</v>
      </c>
      <c r="K934" s="16">
        <f t="shared" si="16"/>
        <v>1</v>
      </c>
      <c r="L934" s="38">
        <v>5000000</v>
      </c>
      <c r="M934" s="17" t="s">
        <v>285</v>
      </c>
      <c r="N934" s="38">
        <v>200</v>
      </c>
      <c r="O934" s="16" t="s">
        <v>2185</v>
      </c>
      <c r="P934" s="30">
        <v>37440000</v>
      </c>
      <c r="Q934" s="33" t="s">
        <v>2200</v>
      </c>
      <c r="R934" s="38">
        <v>2</v>
      </c>
      <c r="S934" s="16" t="s">
        <v>2201</v>
      </c>
      <c r="T934" s="30">
        <v>6000000</v>
      </c>
      <c r="U934" s="16" t="s">
        <v>22</v>
      </c>
      <c r="V934" s="16"/>
      <c r="W934" s="16"/>
      <c r="X934" s="16"/>
      <c r="Y934" s="16">
        <v>100</v>
      </c>
      <c r="Z934" s="16">
        <v>0</v>
      </c>
      <c r="AA934" s="16">
        <v>0</v>
      </c>
      <c r="AB934" s="16">
        <v>0</v>
      </c>
      <c r="AC934" s="16"/>
      <c r="AD934" s="68"/>
      <c r="AE934" s="23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</row>
    <row r="935" spans="1:84" s="2" customFormat="1" x14ac:dyDescent="0.2">
      <c r="A935" s="17" t="s">
        <v>3921</v>
      </c>
      <c r="B935" s="17" t="s">
        <v>45</v>
      </c>
      <c r="C935" s="17">
        <v>2025</v>
      </c>
      <c r="D935" s="17" t="str">
        <f t="array" ref="D935">_xlfn.SWITCH(E935,"Bagor","35.18.14","Sukomoro",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5" s="16" t="s">
        <v>114</v>
      </c>
      <c r="F935" s="33" t="s">
        <v>2192</v>
      </c>
      <c r="G935" s="33" t="s">
        <v>2193</v>
      </c>
      <c r="H935" s="16" t="s">
        <v>31</v>
      </c>
      <c r="I935" s="16">
        <v>2</v>
      </c>
      <c r="J935" s="16">
        <v>1</v>
      </c>
      <c r="K935" s="16">
        <f t="shared" si="16"/>
        <v>3</v>
      </c>
      <c r="L935" s="38">
        <v>1500000</v>
      </c>
      <c r="M935" s="17" t="s">
        <v>285</v>
      </c>
      <c r="N935" s="38">
        <v>300</v>
      </c>
      <c r="O935" s="16" t="s">
        <v>2185</v>
      </c>
      <c r="P935" s="30">
        <v>56160000</v>
      </c>
      <c r="Q935" s="33" t="s">
        <v>2200</v>
      </c>
      <c r="R935" s="38">
        <v>2</v>
      </c>
      <c r="S935" s="16" t="s">
        <v>2201</v>
      </c>
      <c r="T935" s="30">
        <v>6000000</v>
      </c>
      <c r="U935" s="16" t="s">
        <v>22</v>
      </c>
      <c r="V935" s="16"/>
      <c r="W935" s="16"/>
      <c r="X935" s="16"/>
      <c r="Y935" s="16">
        <v>60</v>
      </c>
      <c r="Z935" s="16">
        <v>40</v>
      </c>
      <c r="AA935" s="16">
        <v>0</v>
      </c>
      <c r="AB935" s="16">
        <v>0</v>
      </c>
      <c r="AC935" s="16"/>
      <c r="AD935" s="68"/>
      <c r="AE935" s="23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</row>
    <row r="936" spans="1:84" s="2" customFormat="1" x14ac:dyDescent="0.2">
      <c r="A936" s="17" t="s">
        <v>3921</v>
      </c>
      <c r="B936" s="17" t="s">
        <v>45</v>
      </c>
      <c r="C936" s="17">
        <v>2025</v>
      </c>
      <c r="D936" s="17" t="str">
        <f t="array" ref="D936">_xlfn.SWITCH(E936,"Bagor","35.18.14","Sukomoro",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6" s="16" t="s">
        <v>114</v>
      </c>
      <c r="F936" s="33" t="s">
        <v>2192</v>
      </c>
      <c r="G936" s="33" t="s">
        <v>2197</v>
      </c>
      <c r="H936" s="16" t="s">
        <v>31</v>
      </c>
      <c r="I936" s="16">
        <v>3</v>
      </c>
      <c r="J936" s="16">
        <v>1</v>
      </c>
      <c r="K936" s="16">
        <f t="shared" si="16"/>
        <v>4</v>
      </c>
      <c r="L936" s="38">
        <v>2500000</v>
      </c>
      <c r="M936" s="17" t="s">
        <v>285</v>
      </c>
      <c r="N936" s="38">
        <v>400</v>
      </c>
      <c r="O936" s="16" t="s">
        <v>2185</v>
      </c>
      <c r="P936" s="30">
        <v>74880000</v>
      </c>
      <c r="Q936" s="33" t="s">
        <v>2200</v>
      </c>
      <c r="R936" s="38">
        <v>8</v>
      </c>
      <c r="S936" s="16" t="s">
        <v>2201</v>
      </c>
      <c r="T936" s="30">
        <v>24000000</v>
      </c>
      <c r="U936" s="16" t="s">
        <v>22</v>
      </c>
      <c r="V936" s="16"/>
      <c r="W936" s="16"/>
      <c r="X936" s="16"/>
      <c r="Y936" s="16">
        <v>70</v>
      </c>
      <c r="Z936" s="16">
        <v>30</v>
      </c>
      <c r="AA936" s="16">
        <v>0</v>
      </c>
      <c r="AB936" s="16">
        <v>0</v>
      </c>
      <c r="AC936" s="16"/>
      <c r="AD936" s="68"/>
      <c r="AE936" s="23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</row>
    <row r="937" spans="1:84" s="2" customFormat="1" x14ac:dyDescent="0.2">
      <c r="A937" s="17" t="s">
        <v>3921</v>
      </c>
      <c r="B937" s="17" t="s">
        <v>45</v>
      </c>
      <c r="C937" s="17">
        <v>2025</v>
      </c>
      <c r="D937" s="17" t="str">
        <f t="array" ref="D937">_xlfn.SWITCH(E937,"Bagor","35.18.14","Sukomoro",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37" s="16" t="s">
        <v>103</v>
      </c>
      <c r="F937" s="33" t="s">
        <v>2213</v>
      </c>
      <c r="G937" s="33" t="s">
        <v>2214</v>
      </c>
      <c r="H937" s="16" t="s">
        <v>31</v>
      </c>
      <c r="I937" s="16">
        <v>2</v>
      </c>
      <c r="J937" s="16">
        <v>0</v>
      </c>
      <c r="K937" s="16">
        <f t="shared" si="16"/>
        <v>2</v>
      </c>
      <c r="L937" s="38">
        <v>700000</v>
      </c>
      <c r="M937" s="17" t="s">
        <v>2011</v>
      </c>
      <c r="N937" s="38">
        <v>450</v>
      </c>
      <c r="O937" s="16" t="s">
        <v>2185</v>
      </c>
      <c r="P937" s="30">
        <v>168480000</v>
      </c>
      <c r="Q937" s="33" t="s">
        <v>2215</v>
      </c>
      <c r="R937" s="38">
        <v>1200</v>
      </c>
      <c r="S937" s="16" t="s">
        <v>1398</v>
      </c>
      <c r="T937" s="30">
        <v>11520000</v>
      </c>
      <c r="U937" s="16" t="s">
        <v>22</v>
      </c>
      <c r="V937" s="16"/>
      <c r="W937" s="16"/>
      <c r="X937" s="16"/>
      <c r="Y937" s="16">
        <v>60</v>
      </c>
      <c r="Z937" s="16">
        <v>40</v>
      </c>
      <c r="AA937" s="16">
        <v>0</v>
      </c>
      <c r="AB937" s="16">
        <v>0</v>
      </c>
      <c r="AC937" s="16"/>
      <c r="AD937" s="68"/>
      <c r="AE937" s="23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</row>
    <row r="938" spans="1:84" s="2" customFormat="1" x14ac:dyDescent="0.2">
      <c r="A938" s="17" t="s">
        <v>3921</v>
      </c>
      <c r="B938" s="17" t="s">
        <v>45</v>
      </c>
      <c r="C938" s="17">
        <v>2025</v>
      </c>
      <c r="D938" s="17" t="str">
        <f t="array" ref="D938">_xlfn.SWITCH(E938,"Bagor","35.18.14","Sukomoro",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38" s="16" t="s">
        <v>103</v>
      </c>
      <c r="F938" s="33" t="s">
        <v>2213</v>
      </c>
      <c r="G938" s="33" t="s">
        <v>2136</v>
      </c>
      <c r="H938" s="16" t="s">
        <v>31</v>
      </c>
      <c r="I938" s="16">
        <v>0</v>
      </c>
      <c r="J938" s="16">
        <v>1</v>
      </c>
      <c r="K938" s="16">
        <f t="shared" si="16"/>
        <v>1</v>
      </c>
      <c r="L938" s="38">
        <v>50000</v>
      </c>
      <c r="M938" s="17" t="s">
        <v>2011</v>
      </c>
      <c r="N938" s="38">
        <v>100</v>
      </c>
      <c r="O938" s="16" t="s">
        <v>2185</v>
      </c>
      <c r="P938" s="30">
        <v>37440000</v>
      </c>
      <c r="Q938" s="33" t="s">
        <v>2182</v>
      </c>
      <c r="R938" s="38">
        <v>1</v>
      </c>
      <c r="S938" s="16" t="s">
        <v>2201</v>
      </c>
      <c r="T938" s="30">
        <v>2400000</v>
      </c>
      <c r="U938" s="16" t="s">
        <v>22</v>
      </c>
      <c r="V938" s="16"/>
      <c r="W938" s="16"/>
      <c r="X938" s="16"/>
      <c r="Y938" s="16">
        <v>55</v>
      </c>
      <c r="Z938" s="16">
        <v>45</v>
      </c>
      <c r="AA938" s="16">
        <v>0</v>
      </c>
      <c r="AB938" s="16">
        <v>0</v>
      </c>
      <c r="AC938" s="16"/>
      <c r="AD938" s="68"/>
      <c r="AE938" s="23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</row>
    <row r="939" spans="1:84" s="2" customFormat="1" x14ac:dyDescent="0.2">
      <c r="A939" s="17" t="s">
        <v>3921</v>
      </c>
      <c r="B939" s="17" t="s">
        <v>45</v>
      </c>
      <c r="C939" s="17">
        <v>2025</v>
      </c>
      <c r="D939" s="17" t="str">
        <f t="array" ref="D939">_xlfn.SWITCH(E939,"Bagor","35.18.14","Sukomoro",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39" s="16" t="s">
        <v>103</v>
      </c>
      <c r="F939" s="33" t="s">
        <v>2213</v>
      </c>
      <c r="G939" s="33" t="s">
        <v>2216</v>
      </c>
      <c r="H939" s="16" t="s">
        <v>31</v>
      </c>
      <c r="I939" s="16">
        <v>1</v>
      </c>
      <c r="J939" s="16">
        <v>1</v>
      </c>
      <c r="K939" s="16">
        <f t="shared" si="16"/>
        <v>2</v>
      </c>
      <c r="L939" s="38">
        <v>500000</v>
      </c>
      <c r="M939" s="17" t="s">
        <v>2011</v>
      </c>
      <c r="N939" s="38">
        <v>50</v>
      </c>
      <c r="O939" s="16" t="s">
        <v>2185</v>
      </c>
      <c r="P939" s="30">
        <v>18720000</v>
      </c>
      <c r="Q939" s="33" t="s">
        <v>2182</v>
      </c>
      <c r="R939" s="38">
        <v>1</v>
      </c>
      <c r="S939" s="16" t="s">
        <v>2201</v>
      </c>
      <c r="T939" s="30">
        <v>2400000</v>
      </c>
      <c r="U939" s="16" t="s">
        <v>22</v>
      </c>
      <c r="V939" s="16"/>
      <c r="W939" s="16"/>
      <c r="X939" s="16"/>
      <c r="Y939" s="16">
        <v>70</v>
      </c>
      <c r="Z939" s="16">
        <v>30</v>
      </c>
      <c r="AA939" s="16">
        <v>0</v>
      </c>
      <c r="AB939" s="16">
        <v>0</v>
      </c>
      <c r="AC939" s="16"/>
      <c r="AD939" s="68"/>
      <c r="AE939" s="23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</row>
    <row r="940" spans="1:84" s="2" customFormat="1" x14ac:dyDescent="0.2">
      <c r="A940" s="17" t="s">
        <v>3921</v>
      </c>
      <c r="B940" s="17" t="s">
        <v>45</v>
      </c>
      <c r="C940" s="17">
        <v>2025</v>
      </c>
      <c r="D940" s="17" t="str">
        <f t="array" ref="D940">_xlfn.SWITCH(E940,"Bagor","35.18.14","Sukomoro",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40" s="16" t="s">
        <v>29</v>
      </c>
      <c r="F940" s="33" t="s">
        <v>2217</v>
      </c>
      <c r="G940" s="33" t="s">
        <v>2218</v>
      </c>
      <c r="H940" s="16" t="s">
        <v>31</v>
      </c>
      <c r="I940" s="16">
        <v>4</v>
      </c>
      <c r="J940" s="16">
        <v>0</v>
      </c>
      <c r="K940" s="16">
        <f t="shared" si="16"/>
        <v>4</v>
      </c>
      <c r="L940" s="38">
        <v>30000000</v>
      </c>
      <c r="M940" s="17" t="s">
        <v>2219</v>
      </c>
      <c r="N940" s="38">
        <v>10</v>
      </c>
      <c r="O940" s="16" t="s">
        <v>2220</v>
      </c>
      <c r="P940" s="30">
        <v>90000000</v>
      </c>
      <c r="Q940" s="33"/>
      <c r="R940" s="38"/>
      <c r="S940" s="16"/>
      <c r="T940" s="30"/>
      <c r="U940" s="16" t="s">
        <v>22</v>
      </c>
      <c r="V940" s="16"/>
      <c r="W940" s="16"/>
      <c r="X940" s="16"/>
      <c r="Y940" s="16">
        <v>75</v>
      </c>
      <c r="Z940" s="16">
        <v>25</v>
      </c>
      <c r="AA940" s="16">
        <v>0</v>
      </c>
      <c r="AB940" s="16">
        <v>0</v>
      </c>
      <c r="AC940" s="16"/>
      <c r="AD940" s="68"/>
      <c r="AE940" s="23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</row>
    <row r="941" spans="1:84" s="2" customFormat="1" x14ac:dyDescent="0.2">
      <c r="A941" s="17" t="s">
        <v>3921</v>
      </c>
      <c r="B941" s="17" t="s">
        <v>45</v>
      </c>
      <c r="C941" s="17">
        <v>2025</v>
      </c>
      <c r="D941" s="17" t="str">
        <f t="array" ref="D941">_xlfn.SWITCH(E941,"Bagor","35.18.14","Sukomoro",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1" s="16" t="s">
        <v>103</v>
      </c>
      <c r="F941" s="33" t="s">
        <v>2213</v>
      </c>
      <c r="G941" s="33" t="s">
        <v>2221</v>
      </c>
      <c r="H941" s="16" t="s">
        <v>31</v>
      </c>
      <c r="I941" s="16">
        <v>1</v>
      </c>
      <c r="J941" s="16">
        <v>1</v>
      </c>
      <c r="K941" s="16">
        <f t="shared" si="16"/>
        <v>2</v>
      </c>
      <c r="L941" s="38">
        <v>300000</v>
      </c>
      <c r="M941" s="17" t="s">
        <v>2222</v>
      </c>
      <c r="N941" s="38">
        <v>50</v>
      </c>
      <c r="O941" s="16" t="s">
        <v>2185</v>
      </c>
      <c r="P941" s="30">
        <v>18720000</v>
      </c>
      <c r="Q941" s="33" t="s">
        <v>286</v>
      </c>
      <c r="R941" s="38">
        <v>1</v>
      </c>
      <c r="S941" s="16" t="s">
        <v>2223</v>
      </c>
      <c r="T941" s="30">
        <v>2400000</v>
      </c>
      <c r="U941" s="16" t="s">
        <v>22</v>
      </c>
      <c r="V941" s="16"/>
      <c r="W941" s="16"/>
      <c r="X941" s="16"/>
      <c r="Y941" s="16">
        <v>50</v>
      </c>
      <c r="Z941" s="16">
        <v>50</v>
      </c>
      <c r="AA941" s="16">
        <v>0</v>
      </c>
      <c r="AB941" s="16">
        <v>0</v>
      </c>
      <c r="AC941" s="16"/>
      <c r="AD941" s="68"/>
      <c r="AE941" s="23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</row>
    <row r="942" spans="1:84" s="2" customFormat="1" x14ac:dyDescent="0.2">
      <c r="A942" s="17" t="s">
        <v>3921</v>
      </c>
      <c r="B942" s="17" t="s">
        <v>45</v>
      </c>
      <c r="C942" s="17">
        <v>2025</v>
      </c>
      <c r="D942" s="17" t="str">
        <f t="array" ref="D942">_xlfn.SWITCH(E942,"Bagor","35.18.14","Sukomoro",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2" s="16" t="s">
        <v>103</v>
      </c>
      <c r="F942" s="33" t="s">
        <v>2213</v>
      </c>
      <c r="G942" s="33" t="s">
        <v>2224</v>
      </c>
      <c r="H942" s="16" t="s">
        <v>31</v>
      </c>
      <c r="I942" s="16">
        <v>1</v>
      </c>
      <c r="J942" s="16">
        <v>4</v>
      </c>
      <c r="K942" s="16">
        <f t="shared" si="16"/>
        <v>5</v>
      </c>
      <c r="L942" s="38">
        <v>3000000</v>
      </c>
      <c r="M942" s="17" t="s">
        <v>2222</v>
      </c>
      <c r="N942" s="38">
        <v>100</v>
      </c>
      <c r="O942" s="16" t="s">
        <v>2185</v>
      </c>
      <c r="P942" s="30">
        <v>37440000</v>
      </c>
      <c r="Q942" s="33" t="s">
        <v>286</v>
      </c>
      <c r="R942" s="38">
        <v>10</v>
      </c>
      <c r="S942" s="16" t="s">
        <v>2201</v>
      </c>
      <c r="T942" s="30">
        <v>24000000</v>
      </c>
      <c r="U942" s="16" t="s">
        <v>22</v>
      </c>
      <c r="V942" s="16"/>
      <c r="W942" s="16"/>
      <c r="X942" s="16"/>
      <c r="Y942" s="16">
        <v>30</v>
      </c>
      <c r="Z942" s="16">
        <v>35</v>
      </c>
      <c r="AA942" s="16">
        <v>35</v>
      </c>
      <c r="AB942" s="16">
        <v>0</v>
      </c>
      <c r="AC942" s="16"/>
      <c r="AD942" s="68"/>
      <c r="AE942" s="23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</row>
    <row r="943" spans="1:84" s="2" customFormat="1" x14ac:dyDescent="0.2">
      <c r="A943" s="17" t="s">
        <v>3921</v>
      </c>
      <c r="B943" s="17" t="s">
        <v>45</v>
      </c>
      <c r="C943" s="17">
        <v>2025</v>
      </c>
      <c r="D943" s="17" t="str">
        <f t="array" ref="D943">_xlfn.SWITCH(E943,"Bagor","35.18.14","Sukomoro",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3" s="16" t="s">
        <v>103</v>
      </c>
      <c r="F943" s="33" t="s">
        <v>2213</v>
      </c>
      <c r="G943" s="33" t="s">
        <v>2225</v>
      </c>
      <c r="H943" s="16" t="s">
        <v>31</v>
      </c>
      <c r="I943" s="16">
        <v>1</v>
      </c>
      <c r="J943" s="16">
        <v>1</v>
      </c>
      <c r="K943" s="16">
        <f t="shared" si="16"/>
        <v>2</v>
      </c>
      <c r="L943" s="38">
        <v>1000000</v>
      </c>
      <c r="M943" s="17" t="s">
        <v>2222</v>
      </c>
      <c r="N943" s="38">
        <v>300</v>
      </c>
      <c r="O943" s="16" t="s">
        <v>2185</v>
      </c>
      <c r="P943" s="30">
        <v>112320000</v>
      </c>
      <c r="Q943" s="33" t="s">
        <v>286</v>
      </c>
      <c r="R943" s="38">
        <v>1</v>
      </c>
      <c r="S943" s="16" t="s">
        <v>2201</v>
      </c>
      <c r="T943" s="30">
        <v>2400000</v>
      </c>
      <c r="U943" s="16" t="s">
        <v>22</v>
      </c>
      <c r="V943" s="16"/>
      <c r="W943" s="16"/>
      <c r="X943" s="16"/>
      <c r="Y943" s="16">
        <v>80</v>
      </c>
      <c r="Z943" s="16">
        <v>20</v>
      </c>
      <c r="AA943" s="16">
        <v>0</v>
      </c>
      <c r="AB943" s="16">
        <v>0</v>
      </c>
      <c r="AC943" s="16"/>
      <c r="AD943" s="68"/>
      <c r="AE943" s="23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</row>
    <row r="944" spans="1:84" s="2" customFormat="1" x14ac:dyDescent="0.2">
      <c r="A944" s="17" t="s">
        <v>3921</v>
      </c>
      <c r="B944" s="17" t="s">
        <v>45</v>
      </c>
      <c r="C944" s="17">
        <v>2025</v>
      </c>
      <c r="D944" s="17" t="str">
        <f t="array" ref="D944">_xlfn.SWITCH(E944,"Bagor","35.18.14","Sukomoro",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4" s="16" t="s">
        <v>103</v>
      </c>
      <c r="F944" s="33" t="s">
        <v>2213</v>
      </c>
      <c r="G944" s="33" t="s">
        <v>2226</v>
      </c>
      <c r="H944" s="16" t="s">
        <v>31</v>
      </c>
      <c r="I944" s="16">
        <v>1</v>
      </c>
      <c r="J944" s="16">
        <v>1</v>
      </c>
      <c r="K944" s="16">
        <f t="shared" si="16"/>
        <v>2</v>
      </c>
      <c r="L944" s="38">
        <v>1000000</v>
      </c>
      <c r="M944" s="17" t="s">
        <v>2227</v>
      </c>
      <c r="N944" s="38">
        <v>100</v>
      </c>
      <c r="O944" s="16" t="s">
        <v>2185</v>
      </c>
      <c r="P944" s="30">
        <v>37440000</v>
      </c>
      <c r="Q944" s="33" t="s">
        <v>286</v>
      </c>
      <c r="R944" s="38">
        <v>6</v>
      </c>
      <c r="S944" s="16" t="s">
        <v>2201</v>
      </c>
      <c r="T944" s="30">
        <v>14400000</v>
      </c>
      <c r="U944" s="16" t="s">
        <v>22</v>
      </c>
      <c r="V944" s="16"/>
      <c r="W944" s="16"/>
      <c r="X944" s="16"/>
      <c r="Y944" s="16">
        <v>80</v>
      </c>
      <c r="Z944" s="16">
        <v>20</v>
      </c>
      <c r="AA944" s="16">
        <v>0</v>
      </c>
      <c r="AB944" s="16">
        <v>0</v>
      </c>
      <c r="AC944" s="16"/>
      <c r="AD944" s="68"/>
      <c r="AE944" s="23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</row>
    <row r="945" spans="1:84" s="2" customFormat="1" x14ac:dyDescent="0.2">
      <c r="A945" s="17" t="s">
        <v>3921</v>
      </c>
      <c r="B945" s="17" t="s">
        <v>45</v>
      </c>
      <c r="C945" s="17">
        <v>2025</v>
      </c>
      <c r="D945" s="17" t="str">
        <f t="array" ref="D945">_xlfn.SWITCH(E945,"Bagor","35.18.14","Sukomoro",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5" s="16" t="s">
        <v>103</v>
      </c>
      <c r="F945" s="33" t="s">
        <v>2213</v>
      </c>
      <c r="G945" s="33" t="s">
        <v>2228</v>
      </c>
      <c r="H945" s="16" t="s">
        <v>31</v>
      </c>
      <c r="I945" s="16">
        <v>1</v>
      </c>
      <c r="J945" s="16">
        <v>1</v>
      </c>
      <c r="K945" s="16">
        <f t="shared" si="16"/>
        <v>2</v>
      </c>
      <c r="L945" s="38">
        <v>800000</v>
      </c>
      <c r="M945" s="17" t="s">
        <v>2170</v>
      </c>
      <c r="N945" s="38">
        <v>80</v>
      </c>
      <c r="O945" s="16" t="s">
        <v>2185</v>
      </c>
      <c r="P945" s="30">
        <v>29952000</v>
      </c>
      <c r="Q945" s="33" t="s">
        <v>286</v>
      </c>
      <c r="R945" s="38">
        <v>6</v>
      </c>
      <c r="S945" s="16" t="s">
        <v>2201</v>
      </c>
      <c r="T945" s="30">
        <v>14400000</v>
      </c>
      <c r="U945" s="16" t="s">
        <v>22</v>
      </c>
      <c r="V945" s="16"/>
      <c r="W945" s="16"/>
      <c r="X945" s="16"/>
      <c r="Y945" s="16">
        <v>80</v>
      </c>
      <c r="Z945" s="16">
        <v>20</v>
      </c>
      <c r="AA945" s="16">
        <v>0</v>
      </c>
      <c r="AB945" s="16">
        <v>0</v>
      </c>
      <c r="AC945" s="16"/>
      <c r="AD945" s="68"/>
      <c r="AE945" s="23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</row>
    <row r="946" spans="1:84" s="2" customFormat="1" x14ac:dyDescent="0.2">
      <c r="A946" s="17" t="s">
        <v>3921</v>
      </c>
      <c r="B946" s="17" t="s">
        <v>45</v>
      </c>
      <c r="C946" s="17">
        <v>2025</v>
      </c>
      <c r="D946" s="17" t="str">
        <f t="array" ref="D946">_xlfn.SWITCH(E946,"Bagor","35.18.14","Sukomoro",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6" s="16" t="s">
        <v>103</v>
      </c>
      <c r="F946" s="33" t="s">
        <v>2213</v>
      </c>
      <c r="G946" s="33" t="s">
        <v>2229</v>
      </c>
      <c r="H946" s="16" t="s">
        <v>31</v>
      </c>
      <c r="I946" s="16">
        <v>1</v>
      </c>
      <c r="J946" s="16">
        <v>1</v>
      </c>
      <c r="K946" s="16">
        <f t="shared" si="16"/>
        <v>2</v>
      </c>
      <c r="L946" s="38">
        <v>5000000</v>
      </c>
      <c r="M946" s="17" t="s">
        <v>2011</v>
      </c>
      <c r="N946" s="38">
        <v>100</v>
      </c>
      <c r="O946" s="16" t="s">
        <v>2185</v>
      </c>
      <c r="P946" s="30">
        <v>37440000</v>
      </c>
      <c r="Q946" s="33" t="s">
        <v>286</v>
      </c>
      <c r="R946" s="38">
        <v>5</v>
      </c>
      <c r="S946" s="16" t="s">
        <v>2201</v>
      </c>
      <c r="T946" s="30">
        <v>12000000</v>
      </c>
      <c r="U946" s="16" t="s">
        <v>22</v>
      </c>
      <c r="V946" s="16"/>
      <c r="W946" s="16"/>
      <c r="X946" s="16"/>
      <c r="Y946" s="16">
        <v>80</v>
      </c>
      <c r="Z946" s="16">
        <v>20</v>
      </c>
      <c r="AA946" s="16">
        <v>0</v>
      </c>
      <c r="AB946" s="16">
        <v>0</v>
      </c>
      <c r="AC946" s="16"/>
      <c r="AD946" s="68"/>
      <c r="AE946" s="23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</row>
    <row r="947" spans="1:84" s="2" customFormat="1" x14ac:dyDescent="0.2">
      <c r="A947" s="17" t="s">
        <v>3921</v>
      </c>
      <c r="B947" s="17" t="s">
        <v>45</v>
      </c>
      <c r="C947" s="17">
        <v>2025</v>
      </c>
      <c r="D947" s="17" t="str">
        <f t="array" ref="D947">_xlfn.SWITCH(E947,"Bagor","35.18.14","Sukomoro",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7" s="16" t="s">
        <v>103</v>
      </c>
      <c r="F947" s="33" t="s">
        <v>2213</v>
      </c>
      <c r="G947" s="33" t="s">
        <v>2230</v>
      </c>
      <c r="H947" s="16" t="s">
        <v>31</v>
      </c>
      <c r="I947" s="16">
        <v>2</v>
      </c>
      <c r="J947" s="16">
        <v>2</v>
      </c>
      <c r="K947" s="16">
        <f t="shared" si="16"/>
        <v>4</v>
      </c>
      <c r="L947" s="38">
        <v>15000000</v>
      </c>
      <c r="M947" s="17" t="s">
        <v>2011</v>
      </c>
      <c r="N947" s="38">
        <v>100</v>
      </c>
      <c r="O947" s="16" t="s">
        <v>2185</v>
      </c>
      <c r="P947" s="30">
        <v>37440000</v>
      </c>
      <c r="Q947" s="33" t="s">
        <v>286</v>
      </c>
      <c r="R947" s="38">
        <v>10</v>
      </c>
      <c r="S947" s="16" t="s">
        <v>2201</v>
      </c>
      <c r="T947" s="30">
        <v>24000000</v>
      </c>
      <c r="U947" s="16" t="s">
        <v>22</v>
      </c>
      <c r="V947" s="16"/>
      <c r="W947" s="16"/>
      <c r="X947" s="16"/>
      <c r="Y947" s="16">
        <v>50</v>
      </c>
      <c r="Z947" s="16">
        <v>30</v>
      </c>
      <c r="AA947" s="16">
        <v>20</v>
      </c>
      <c r="AB947" s="16">
        <v>0</v>
      </c>
      <c r="AC947" s="16"/>
      <c r="AD947" s="68"/>
      <c r="AE947" s="23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</row>
    <row r="948" spans="1:84" s="2" customFormat="1" x14ac:dyDescent="0.2">
      <c r="A948" s="17" t="s">
        <v>3921</v>
      </c>
      <c r="B948" s="17" t="s">
        <v>45</v>
      </c>
      <c r="C948" s="17">
        <v>2025</v>
      </c>
      <c r="D948" s="17" t="str">
        <f t="array" ref="D948">_xlfn.SWITCH(E948,"Bagor","35.18.14","Sukomoro",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8" s="16" t="s">
        <v>103</v>
      </c>
      <c r="F948" s="33" t="s">
        <v>2213</v>
      </c>
      <c r="G948" s="33" t="s">
        <v>2231</v>
      </c>
      <c r="H948" s="16" t="s">
        <v>31</v>
      </c>
      <c r="I948" s="16">
        <v>2</v>
      </c>
      <c r="J948" s="16">
        <v>2</v>
      </c>
      <c r="K948" s="16">
        <f t="shared" si="16"/>
        <v>4</v>
      </c>
      <c r="L948" s="38">
        <v>500000</v>
      </c>
      <c r="M948" s="17" t="s">
        <v>2011</v>
      </c>
      <c r="N948" s="38">
        <v>100</v>
      </c>
      <c r="O948" s="16" t="s">
        <v>2185</v>
      </c>
      <c r="P948" s="30">
        <v>37440000</v>
      </c>
      <c r="Q948" s="33" t="s">
        <v>286</v>
      </c>
      <c r="R948" s="38">
        <v>4</v>
      </c>
      <c r="S948" s="16" t="s">
        <v>2201</v>
      </c>
      <c r="T948" s="30">
        <v>9600000</v>
      </c>
      <c r="U948" s="16" t="s">
        <v>22</v>
      </c>
      <c r="V948" s="16"/>
      <c r="W948" s="16"/>
      <c r="X948" s="16"/>
      <c r="Y948" s="16">
        <v>80</v>
      </c>
      <c r="Z948" s="16">
        <v>20</v>
      </c>
      <c r="AA948" s="16">
        <v>0</v>
      </c>
      <c r="AB948" s="16">
        <v>0</v>
      </c>
      <c r="AC948" s="16"/>
      <c r="AD948" s="68"/>
      <c r="AE948" s="23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</row>
    <row r="949" spans="1:84" s="2" customFormat="1" x14ac:dyDescent="0.2">
      <c r="A949" s="17" t="s">
        <v>3921</v>
      </c>
      <c r="B949" s="17" t="s">
        <v>45</v>
      </c>
      <c r="C949" s="17">
        <v>2025</v>
      </c>
      <c r="D949" s="17" t="str">
        <f t="array" ref="D949">_xlfn.SWITCH(E949,"Bagor","35.18.14","Sukomoro",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49" s="16" t="s">
        <v>29</v>
      </c>
      <c r="F949" s="33" t="s">
        <v>2075</v>
      </c>
      <c r="G949" s="33" t="s">
        <v>2232</v>
      </c>
      <c r="H949" s="16" t="s">
        <v>31</v>
      </c>
      <c r="I949" s="16">
        <v>4</v>
      </c>
      <c r="J949" s="16">
        <v>0</v>
      </c>
      <c r="K949" s="16">
        <f t="shared" si="16"/>
        <v>4</v>
      </c>
      <c r="L949" s="38">
        <v>150000000</v>
      </c>
      <c r="M949" s="17" t="s">
        <v>2233</v>
      </c>
      <c r="N949" s="38">
        <v>15</v>
      </c>
      <c r="O949" s="16" t="s">
        <v>2185</v>
      </c>
      <c r="P949" s="30">
        <v>327600000</v>
      </c>
      <c r="Q949" s="33" t="s">
        <v>2234</v>
      </c>
      <c r="R949" s="38">
        <v>20</v>
      </c>
      <c r="S949" s="16" t="s">
        <v>2235</v>
      </c>
      <c r="T949" s="30">
        <v>168000000</v>
      </c>
      <c r="U949" s="16" t="s">
        <v>22</v>
      </c>
      <c r="V949" s="16"/>
      <c r="W949" s="16"/>
      <c r="X949" s="16"/>
      <c r="Y949" s="16">
        <v>75</v>
      </c>
      <c r="Z949" s="16">
        <v>25</v>
      </c>
      <c r="AA949" s="16">
        <v>0</v>
      </c>
      <c r="AB949" s="16">
        <v>0</v>
      </c>
      <c r="AC949" s="16"/>
      <c r="AD949" s="68"/>
      <c r="AE949" s="23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</row>
    <row r="950" spans="1:84" s="2" customFormat="1" ht="20" x14ac:dyDescent="0.2">
      <c r="A950" s="17" t="s">
        <v>3921</v>
      </c>
      <c r="B950" s="17" t="s">
        <v>45</v>
      </c>
      <c r="C950" s="17">
        <v>2025</v>
      </c>
      <c r="D950" s="17" t="str">
        <f t="array" ref="D950">_xlfn.SWITCH(E950,"Bagor","35.18.14","Sukomoro",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50" s="16" t="s">
        <v>29</v>
      </c>
      <c r="F950" s="33" t="s">
        <v>2174</v>
      </c>
      <c r="G950" s="33" t="s">
        <v>2236</v>
      </c>
      <c r="H950" s="16" t="s">
        <v>47</v>
      </c>
      <c r="I950" s="16">
        <v>4</v>
      </c>
      <c r="J950" s="16">
        <v>0</v>
      </c>
      <c r="K950" s="16">
        <f t="shared" si="16"/>
        <v>4</v>
      </c>
      <c r="L950" s="38">
        <v>100000000</v>
      </c>
      <c r="M950" s="17" t="s">
        <v>2208</v>
      </c>
      <c r="N950" s="38">
        <v>12</v>
      </c>
      <c r="O950" s="16" t="s">
        <v>2185</v>
      </c>
      <c r="P950" s="30">
        <v>374400000</v>
      </c>
      <c r="Q950" s="33" t="s">
        <v>2237</v>
      </c>
      <c r="R950" s="38">
        <v>10</v>
      </c>
      <c r="S950" s="16" t="s">
        <v>69</v>
      </c>
      <c r="T950" s="30">
        <v>108000000</v>
      </c>
      <c r="U950" s="16" t="s">
        <v>22</v>
      </c>
      <c r="V950" s="16"/>
      <c r="W950" s="16"/>
      <c r="X950" s="16"/>
      <c r="Y950" s="16">
        <v>25</v>
      </c>
      <c r="Z950" s="16">
        <v>35</v>
      </c>
      <c r="AA950" s="16">
        <v>40</v>
      </c>
      <c r="AB950" s="16">
        <v>0</v>
      </c>
      <c r="AC950" s="16"/>
      <c r="AD950" s="68"/>
      <c r="AE950" s="23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</row>
    <row r="951" spans="1:84" s="2" customFormat="1" x14ac:dyDescent="0.2">
      <c r="A951" s="17" t="s">
        <v>3921</v>
      </c>
      <c r="B951" s="17" t="s">
        <v>45</v>
      </c>
      <c r="C951" s="17">
        <v>2025</v>
      </c>
      <c r="D951" s="17" t="str">
        <f t="array" ref="D951">_xlfn.SWITCH(E951,"Bagor","35.18.14","Sukomoro",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1" s="16" t="s">
        <v>103</v>
      </c>
      <c r="F951" s="33" t="s">
        <v>2213</v>
      </c>
      <c r="G951" s="33" t="s">
        <v>2238</v>
      </c>
      <c r="H951" s="16" t="s">
        <v>31</v>
      </c>
      <c r="I951" s="16">
        <v>2</v>
      </c>
      <c r="J951" s="16">
        <v>1</v>
      </c>
      <c r="K951" s="16">
        <f t="shared" si="16"/>
        <v>3</v>
      </c>
      <c r="L951" s="38">
        <v>500000</v>
      </c>
      <c r="M951" s="17" t="s">
        <v>2011</v>
      </c>
      <c r="N951" s="38">
        <v>80</v>
      </c>
      <c r="O951" s="16" t="s">
        <v>2185</v>
      </c>
      <c r="P951" s="30">
        <v>29952000</v>
      </c>
      <c r="Q951" s="33" t="s">
        <v>286</v>
      </c>
      <c r="R951" s="38">
        <v>3</v>
      </c>
      <c r="S951" s="16" t="s">
        <v>2201</v>
      </c>
      <c r="T951" s="30">
        <v>9000000</v>
      </c>
      <c r="U951" s="16" t="s">
        <v>22</v>
      </c>
      <c r="V951" s="16"/>
      <c r="W951" s="16"/>
      <c r="X951" s="16"/>
      <c r="Y951" s="16">
        <v>65</v>
      </c>
      <c r="Z951" s="16">
        <v>35</v>
      </c>
      <c r="AA951" s="16">
        <v>0</v>
      </c>
      <c r="AB951" s="16">
        <v>0</v>
      </c>
      <c r="AC951" s="16"/>
      <c r="AD951" s="68"/>
      <c r="AE951" s="23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</row>
    <row r="952" spans="1:84" s="2" customFormat="1" x14ac:dyDescent="0.2">
      <c r="A952" s="17" t="s">
        <v>3921</v>
      </c>
      <c r="B952" s="17" t="s">
        <v>45</v>
      </c>
      <c r="C952" s="17">
        <v>2025</v>
      </c>
      <c r="D952" s="17" t="str">
        <f t="array" ref="D952">_xlfn.SWITCH(E952,"Bagor","35.18.14","Sukomoro",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2" s="16" t="s">
        <v>103</v>
      </c>
      <c r="F952" s="33" t="s">
        <v>2213</v>
      </c>
      <c r="G952" s="33" t="s">
        <v>2239</v>
      </c>
      <c r="H952" s="16" t="s">
        <v>31</v>
      </c>
      <c r="I952" s="16">
        <v>0</v>
      </c>
      <c r="J952" s="16">
        <v>1</v>
      </c>
      <c r="K952" s="16">
        <f t="shared" si="16"/>
        <v>1</v>
      </c>
      <c r="L952" s="38">
        <v>300000</v>
      </c>
      <c r="M952" s="17" t="s">
        <v>2011</v>
      </c>
      <c r="N952" s="38">
        <v>30</v>
      </c>
      <c r="O952" s="16" t="s">
        <v>2185</v>
      </c>
      <c r="P952" s="30">
        <v>11232000</v>
      </c>
      <c r="Q952" s="33" t="s">
        <v>286</v>
      </c>
      <c r="R952" s="38">
        <v>2</v>
      </c>
      <c r="S952" s="16" t="s">
        <v>2223</v>
      </c>
      <c r="T952" s="30">
        <v>6000000</v>
      </c>
      <c r="U952" s="16" t="s">
        <v>22</v>
      </c>
      <c r="V952" s="16"/>
      <c r="W952" s="16"/>
      <c r="X952" s="16"/>
      <c r="Y952" s="16">
        <v>90</v>
      </c>
      <c r="Z952" s="16">
        <v>10</v>
      </c>
      <c r="AA952" s="16">
        <v>0</v>
      </c>
      <c r="AB952" s="16">
        <v>0</v>
      </c>
      <c r="AC952" s="16"/>
      <c r="AD952" s="68"/>
      <c r="AE952" s="23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</row>
    <row r="953" spans="1:84" s="2" customFormat="1" x14ac:dyDescent="0.2">
      <c r="A953" s="17" t="s">
        <v>3921</v>
      </c>
      <c r="B953" s="17" t="s">
        <v>45</v>
      </c>
      <c r="C953" s="17">
        <v>2025</v>
      </c>
      <c r="D953" s="17" t="str">
        <f t="array" ref="D953">_xlfn.SWITCH(E953,"Bagor","35.18.14","Sukomoro",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3" s="16" t="s">
        <v>103</v>
      </c>
      <c r="F953" s="33" t="s">
        <v>2213</v>
      </c>
      <c r="G953" s="33" t="s">
        <v>2240</v>
      </c>
      <c r="H953" s="16" t="s">
        <v>31</v>
      </c>
      <c r="I953" s="16">
        <v>1</v>
      </c>
      <c r="J953" s="16">
        <v>1</v>
      </c>
      <c r="K953" s="16">
        <f t="shared" si="16"/>
        <v>2</v>
      </c>
      <c r="L953" s="38">
        <v>500000</v>
      </c>
      <c r="M953" s="17" t="s">
        <v>2011</v>
      </c>
      <c r="N953" s="38">
        <v>60</v>
      </c>
      <c r="O953" s="16" t="s">
        <v>2185</v>
      </c>
      <c r="P953" s="30">
        <v>22464000</v>
      </c>
      <c r="Q953" s="33" t="s">
        <v>286</v>
      </c>
      <c r="R953" s="38">
        <v>5</v>
      </c>
      <c r="S953" s="16" t="s">
        <v>2241</v>
      </c>
      <c r="T953" s="30">
        <v>15000000</v>
      </c>
      <c r="U953" s="16" t="s">
        <v>22</v>
      </c>
      <c r="V953" s="16"/>
      <c r="W953" s="16"/>
      <c r="X953" s="16"/>
      <c r="Y953" s="16">
        <v>80</v>
      </c>
      <c r="Z953" s="16">
        <v>20</v>
      </c>
      <c r="AA953" s="16">
        <v>0</v>
      </c>
      <c r="AB953" s="16">
        <v>0</v>
      </c>
      <c r="AC953" s="16"/>
      <c r="AD953" s="68"/>
      <c r="AE953" s="23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</row>
    <row r="954" spans="1:84" s="2" customFormat="1" x14ac:dyDescent="0.2">
      <c r="A954" s="17" t="s">
        <v>3921</v>
      </c>
      <c r="B954" s="17" t="s">
        <v>45</v>
      </c>
      <c r="C954" s="17">
        <v>2025</v>
      </c>
      <c r="D954" s="17" t="str">
        <f t="array" ref="D954">_xlfn.SWITCH(E954,"Bagor","35.18.14","Sukomoro",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4" s="16" t="s">
        <v>103</v>
      </c>
      <c r="F954" s="33" t="s">
        <v>2213</v>
      </c>
      <c r="G954" s="33" t="s">
        <v>2242</v>
      </c>
      <c r="H954" s="16" t="s">
        <v>31</v>
      </c>
      <c r="I954" s="16">
        <v>0</v>
      </c>
      <c r="J954" s="16">
        <v>2</v>
      </c>
      <c r="K954" s="16">
        <f t="shared" si="16"/>
        <v>2</v>
      </c>
      <c r="L954" s="38">
        <v>300000</v>
      </c>
      <c r="M954" s="17" t="s">
        <v>2011</v>
      </c>
      <c r="N954" s="38">
        <v>200</v>
      </c>
      <c r="O954" s="16" t="s">
        <v>2185</v>
      </c>
      <c r="P954" s="30">
        <v>74880000</v>
      </c>
      <c r="Q954" s="33" t="s">
        <v>286</v>
      </c>
      <c r="R954" s="38">
        <v>1</v>
      </c>
      <c r="S954" s="16" t="s">
        <v>2241</v>
      </c>
      <c r="T954" s="30">
        <v>3000000</v>
      </c>
      <c r="U954" s="16" t="s">
        <v>22</v>
      </c>
      <c r="V954" s="16"/>
      <c r="W954" s="16"/>
      <c r="X954" s="16"/>
      <c r="Y954" s="16">
        <v>100</v>
      </c>
      <c r="Z954" s="16">
        <v>0</v>
      </c>
      <c r="AA954" s="16">
        <v>0</v>
      </c>
      <c r="AB954" s="16">
        <v>0</v>
      </c>
      <c r="AC954" s="16"/>
      <c r="AD954" s="68"/>
      <c r="AE954" s="23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</row>
    <row r="955" spans="1:84" s="2" customFormat="1" x14ac:dyDescent="0.2">
      <c r="A955" s="17" t="s">
        <v>3921</v>
      </c>
      <c r="B955" s="17" t="s">
        <v>45</v>
      </c>
      <c r="C955" s="17">
        <v>2025</v>
      </c>
      <c r="D955" s="17" t="str">
        <f t="array" ref="D955">_xlfn.SWITCH(E955,"Bagor","35.18.14","Sukomoro",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5" s="16" t="s">
        <v>103</v>
      </c>
      <c r="F955" s="33" t="s">
        <v>2213</v>
      </c>
      <c r="G955" s="33" t="s">
        <v>2243</v>
      </c>
      <c r="H955" s="16" t="s">
        <v>31</v>
      </c>
      <c r="I955" s="16">
        <v>1</v>
      </c>
      <c r="J955" s="16">
        <v>1</v>
      </c>
      <c r="K955" s="16">
        <f t="shared" si="16"/>
        <v>2</v>
      </c>
      <c r="L955" s="38">
        <v>1000000</v>
      </c>
      <c r="M955" s="17" t="s">
        <v>2011</v>
      </c>
      <c r="N955" s="38">
        <v>500</v>
      </c>
      <c r="O955" s="16" t="s">
        <v>2185</v>
      </c>
      <c r="P955" s="30">
        <v>187200000</v>
      </c>
      <c r="Q955" s="33" t="s">
        <v>2244</v>
      </c>
      <c r="R955" s="38">
        <v>40</v>
      </c>
      <c r="S955" s="16" t="s">
        <v>2245</v>
      </c>
      <c r="T955" s="30">
        <v>120000000</v>
      </c>
      <c r="U955" s="16" t="s">
        <v>22</v>
      </c>
      <c r="V955" s="16"/>
      <c r="W955" s="16"/>
      <c r="X955" s="16"/>
      <c r="Y955" s="16">
        <v>100</v>
      </c>
      <c r="Z955" s="16">
        <v>0</v>
      </c>
      <c r="AA955" s="16">
        <v>0</v>
      </c>
      <c r="AB955" s="16">
        <v>0</v>
      </c>
      <c r="AC955" s="16"/>
      <c r="AD955" s="68"/>
      <c r="AE955" s="23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</row>
    <row r="956" spans="1:84" s="2" customFormat="1" x14ac:dyDescent="0.2">
      <c r="A956" s="17" t="s">
        <v>3921</v>
      </c>
      <c r="B956" s="17" t="s">
        <v>45</v>
      </c>
      <c r="C956" s="17">
        <v>2025</v>
      </c>
      <c r="D956" s="17" t="str">
        <f t="array" ref="D956">_xlfn.SWITCH(E956,"Bagor","35.18.14","Sukomoro",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6" s="16" t="s">
        <v>103</v>
      </c>
      <c r="F956" s="33" t="s">
        <v>2213</v>
      </c>
      <c r="G956" s="33" t="s">
        <v>2246</v>
      </c>
      <c r="H956" s="16" t="s">
        <v>31</v>
      </c>
      <c r="I956" s="16">
        <v>2</v>
      </c>
      <c r="J956" s="16">
        <v>1</v>
      </c>
      <c r="K956" s="16">
        <f t="shared" si="16"/>
        <v>3</v>
      </c>
      <c r="L956" s="38">
        <v>10000000</v>
      </c>
      <c r="M956" s="17" t="s">
        <v>2011</v>
      </c>
      <c r="N956" s="38">
        <v>100</v>
      </c>
      <c r="O956" s="16" t="s">
        <v>2185</v>
      </c>
      <c r="P956" s="30">
        <v>37440000</v>
      </c>
      <c r="Q956" s="33" t="s">
        <v>2182</v>
      </c>
      <c r="R956" s="38">
        <v>5</v>
      </c>
      <c r="S956" s="33" t="s">
        <v>2247</v>
      </c>
      <c r="T956" s="30">
        <v>15000000</v>
      </c>
      <c r="U956" s="16" t="s">
        <v>22</v>
      </c>
      <c r="V956" s="16"/>
      <c r="W956" s="16"/>
      <c r="X956" s="16"/>
      <c r="Y956" s="16">
        <v>70</v>
      </c>
      <c r="Z956" s="16">
        <v>30</v>
      </c>
      <c r="AA956" s="16">
        <v>0</v>
      </c>
      <c r="AB956" s="16">
        <v>0</v>
      </c>
      <c r="AC956" s="16"/>
      <c r="AD956" s="68"/>
      <c r="AE956" s="23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</row>
    <row r="957" spans="1:84" s="2" customFormat="1" x14ac:dyDescent="0.2">
      <c r="A957" s="17" t="s">
        <v>3921</v>
      </c>
      <c r="B957" s="17" t="s">
        <v>45</v>
      </c>
      <c r="C957" s="17">
        <v>2025</v>
      </c>
      <c r="D957" s="17" t="str">
        <f t="array" ref="D957">_xlfn.SWITCH(E957,"Bagor","35.18.14","Sukomoro",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957" s="16" t="s">
        <v>92</v>
      </c>
      <c r="F957" s="33" t="s">
        <v>1188</v>
      </c>
      <c r="G957" s="33" t="s">
        <v>2248</v>
      </c>
      <c r="H957" s="16" t="s">
        <v>47</v>
      </c>
      <c r="I957" s="16">
        <v>20</v>
      </c>
      <c r="J957" s="16">
        <v>11</v>
      </c>
      <c r="K957" s="16">
        <f t="shared" si="16"/>
        <v>31</v>
      </c>
      <c r="L957" s="38">
        <v>250000000</v>
      </c>
      <c r="M957" s="17" t="s">
        <v>258</v>
      </c>
      <c r="N957" s="38">
        <v>11530</v>
      </c>
      <c r="O957" s="16" t="s">
        <v>1803</v>
      </c>
      <c r="P957" s="30">
        <v>345900000</v>
      </c>
      <c r="Q957" s="33" t="s">
        <v>1958</v>
      </c>
      <c r="R957" s="38">
        <f>1500*12*26</f>
        <v>468000</v>
      </c>
      <c r="S957" s="16" t="s">
        <v>1130</v>
      </c>
      <c r="T957" s="30">
        <v>234000000</v>
      </c>
      <c r="U957" s="16" t="s">
        <v>22</v>
      </c>
      <c r="V957" s="16"/>
      <c r="W957" s="16"/>
      <c r="X957" s="16"/>
      <c r="Y957" s="16">
        <v>50</v>
      </c>
      <c r="Z957" s="16">
        <v>30</v>
      </c>
      <c r="AA957" s="16">
        <v>20</v>
      </c>
      <c r="AB957" s="16">
        <v>0</v>
      </c>
      <c r="AC957" s="16"/>
      <c r="AD957" s="68"/>
      <c r="AE957" s="23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</row>
    <row r="958" spans="1:84" s="2" customFormat="1" ht="20" x14ac:dyDescent="0.2">
      <c r="A958" s="17" t="s">
        <v>3921</v>
      </c>
      <c r="B958" s="17" t="s">
        <v>45</v>
      </c>
      <c r="C958" s="17">
        <v>2025</v>
      </c>
      <c r="D958" s="17" t="str">
        <f t="array" ref="D958">_xlfn.SWITCH(E958,"Jatikalen","35.18.20","Kertosono", "35.18.08","Lengkong","35.18.19","Loceret","35.18.04","Tanjunganom","35.18.11","Wilangan","35.18.15")</f>
        <v>35.18.11</v>
      </c>
      <c r="E958" s="16" t="s">
        <v>60</v>
      </c>
      <c r="F958" s="33" t="s">
        <v>2249</v>
      </c>
      <c r="G958" s="33" t="s">
        <v>2250</v>
      </c>
      <c r="H958" s="16" t="s">
        <v>47</v>
      </c>
      <c r="I958" s="20">
        <v>4</v>
      </c>
      <c r="J958" s="20">
        <v>2</v>
      </c>
      <c r="K958" s="16">
        <f t="shared" si="16"/>
        <v>6</v>
      </c>
      <c r="L958" s="38">
        <v>100000000</v>
      </c>
      <c r="M958" s="33" t="s">
        <v>2251</v>
      </c>
      <c r="N958" s="67">
        <v>23040</v>
      </c>
      <c r="O958" s="16" t="s">
        <v>1130</v>
      </c>
      <c r="P958" s="70">
        <v>529920000</v>
      </c>
      <c r="Q958" s="33" t="s">
        <v>2252</v>
      </c>
      <c r="R958" s="67">
        <v>550</v>
      </c>
      <c r="S958" s="16" t="s">
        <v>1672</v>
      </c>
      <c r="T958" s="67">
        <v>135708000</v>
      </c>
      <c r="U958" s="16" t="s">
        <v>22</v>
      </c>
      <c r="V958" s="16"/>
      <c r="W958" s="16"/>
      <c r="X958" s="16"/>
      <c r="Y958" s="20">
        <v>55</v>
      </c>
      <c r="Z958" s="20">
        <v>45</v>
      </c>
      <c r="AA958" s="20">
        <v>0</v>
      </c>
      <c r="AB958" s="21">
        <v>0</v>
      </c>
      <c r="AC958" s="16" t="s">
        <v>2253</v>
      </c>
      <c r="AD958" s="68"/>
      <c r="AE958" s="23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</row>
    <row r="959" spans="1:84" s="2" customFormat="1" x14ac:dyDescent="0.2">
      <c r="A959" s="17" t="s">
        <v>3921</v>
      </c>
      <c r="B959" s="17" t="s">
        <v>45</v>
      </c>
      <c r="C959" s="17">
        <v>2025</v>
      </c>
      <c r="D959" s="17" t="str">
        <f t="array" ref="D959">_xlfn.SWITCH(E959,"Bagor","35.18.14","Sukomoro",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959" s="16" t="s">
        <v>162</v>
      </c>
      <c r="F959" s="33" t="s">
        <v>2254</v>
      </c>
      <c r="G959" s="33" t="s">
        <v>2255</v>
      </c>
      <c r="H959" s="16" t="s">
        <v>47</v>
      </c>
      <c r="I959" s="16">
        <v>6</v>
      </c>
      <c r="J959" s="16">
        <v>8</v>
      </c>
      <c r="K959" s="16">
        <f t="shared" si="16"/>
        <v>14</v>
      </c>
      <c r="L959" s="38">
        <v>70000000</v>
      </c>
      <c r="M959" s="33" t="s">
        <v>2256</v>
      </c>
      <c r="N959" s="67">
        <v>187200</v>
      </c>
      <c r="O959" s="16" t="s">
        <v>962</v>
      </c>
      <c r="P959" s="70">
        <v>1872000000</v>
      </c>
      <c r="Q959" s="33" t="s">
        <v>2257</v>
      </c>
      <c r="R959" s="67">
        <v>187200</v>
      </c>
      <c r="S959" s="16" t="s">
        <v>422</v>
      </c>
      <c r="T959" s="67">
        <v>1022400000</v>
      </c>
      <c r="U959" s="16" t="s">
        <v>22</v>
      </c>
      <c r="V959" s="16"/>
      <c r="W959" s="16"/>
      <c r="X959" s="16"/>
      <c r="Y959" s="20">
        <v>60</v>
      </c>
      <c r="Z959" s="20">
        <v>40</v>
      </c>
      <c r="AA959" s="20">
        <v>0</v>
      </c>
      <c r="AB959" s="21">
        <v>0</v>
      </c>
      <c r="AC959" s="16" t="s">
        <v>2258</v>
      </c>
      <c r="AD959" s="68"/>
      <c r="AE959" s="23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</row>
    <row r="960" spans="1:84" s="2" customFormat="1" x14ac:dyDescent="0.2">
      <c r="A960" s="17" t="s">
        <v>3921</v>
      </c>
      <c r="B960" s="17" t="s">
        <v>45</v>
      </c>
      <c r="C960" s="17">
        <v>2025</v>
      </c>
      <c r="D960" s="17" t="str">
        <f t="array" ref="D960">_xlfn.SWITCH(E960,"Bagor","35.18.14","Sukomoro",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60" s="16" t="s">
        <v>114</v>
      </c>
      <c r="F960" s="33" t="s">
        <v>2259</v>
      </c>
      <c r="G960" s="33" t="s">
        <v>2260</v>
      </c>
      <c r="H960" s="16" t="s">
        <v>47</v>
      </c>
      <c r="I960" s="16">
        <v>2</v>
      </c>
      <c r="J960" s="16">
        <v>0</v>
      </c>
      <c r="K960" s="16">
        <f t="shared" si="16"/>
        <v>2</v>
      </c>
      <c r="L960" s="38">
        <v>50000000</v>
      </c>
      <c r="M960" s="17" t="s">
        <v>1518</v>
      </c>
      <c r="N960" s="67">
        <v>1152</v>
      </c>
      <c r="O960" s="16" t="s">
        <v>1263</v>
      </c>
      <c r="P960" s="70">
        <v>53600000</v>
      </c>
      <c r="Q960" s="33" t="s">
        <v>1680</v>
      </c>
      <c r="R960" s="67">
        <v>60</v>
      </c>
      <c r="S960" s="16" t="s">
        <v>69</v>
      </c>
      <c r="T960" s="67">
        <v>30672000</v>
      </c>
      <c r="U960" s="16" t="s">
        <v>22</v>
      </c>
      <c r="V960" s="16"/>
      <c r="W960" s="16"/>
      <c r="X960" s="16"/>
      <c r="Y960" s="20">
        <v>50</v>
      </c>
      <c r="Z960" s="20">
        <v>30</v>
      </c>
      <c r="AA960" s="20">
        <v>20</v>
      </c>
      <c r="AB960" s="21">
        <v>0</v>
      </c>
      <c r="AC960" s="16" t="s">
        <v>2261</v>
      </c>
      <c r="AD960" s="68"/>
      <c r="AE960" s="23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</row>
    <row r="961" spans="1:84" s="2" customFormat="1" x14ac:dyDescent="0.2">
      <c r="A961" s="17" t="s">
        <v>3921</v>
      </c>
      <c r="B961" s="17" t="s">
        <v>45</v>
      </c>
      <c r="C961" s="17">
        <v>2025</v>
      </c>
      <c r="D961" s="17" t="str">
        <f t="array" ref="D961">_xlfn.SWITCH(E961,"Jatikalen","35.18.20","Kertosono", "35.18.08","Lengkong","35.18.19","Loceret","35.18.04","Tanjunganom","35.18.11","Wilangan","35.18.15")</f>
        <v>35.18.08</v>
      </c>
      <c r="E961" s="16" t="s">
        <v>128</v>
      </c>
      <c r="F961" s="33" t="s">
        <v>2262</v>
      </c>
      <c r="G961" s="33" t="s">
        <v>2263</v>
      </c>
      <c r="H961" s="16" t="s">
        <v>47</v>
      </c>
      <c r="I961" s="16">
        <v>17</v>
      </c>
      <c r="J961" s="16">
        <v>2</v>
      </c>
      <c r="K961" s="16">
        <f t="shared" si="16"/>
        <v>19</v>
      </c>
      <c r="L961" s="38">
        <v>100000000</v>
      </c>
      <c r="M961" s="33" t="s">
        <v>2264</v>
      </c>
      <c r="N961" s="67">
        <v>172800</v>
      </c>
      <c r="O961" s="16" t="s">
        <v>1130</v>
      </c>
      <c r="P961" s="70">
        <v>1123200000</v>
      </c>
      <c r="Q961" s="33" t="s">
        <v>2265</v>
      </c>
      <c r="R961" s="67">
        <v>4200</v>
      </c>
      <c r="S961" s="16" t="s">
        <v>505</v>
      </c>
      <c r="T961" s="67">
        <v>584600000</v>
      </c>
      <c r="U961" s="16" t="s">
        <v>22</v>
      </c>
      <c r="V961" s="16"/>
      <c r="W961" s="16"/>
      <c r="X961" s="16"/>
      <c r="Y961" s="20">
        <v>75</v>
      </c>
      <c r="Z961" s="20">
        <v>25</v>
      </c>
      <c r="AA961" s="20">
        <v>0</v>
      </c>
      <c r="AB961" s="21">
        <v>0</v>
      </c>
      <c r="AC961" s="16" t="s">
        <v>2266</v>
      </c>
      <c r="AD961" s="68"/>
      <c r="AE961" s="23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</row>
    <row r="962" spans="1:84" s="2" customFormat="1" ht="20" x14ac:dyDescent="0.2">
      <c r="A962" s="17" t="s">
        <v>3921</v>
      </c>
      <c r="B962" s="17" t="s">
        <v>45</v>
      </c>
      <c r="C962" s="17">
        <v>2025</v>
      </c>
      <c r="D962" s="17" t="str">
        <f t="array" ref="D962">_xlfn.SWITCH(E962,"Jatikalen","35.18.20","Kertosono", "35.18.08","Lengkong","35.18.19","Loceret","35.18.04","Tanjunganom","35.18.11","Wilangan","35.18.15")</f>
        <v>35.18.04</v>
      </c>
      <c r="E962" s="16" t="s">
        <v>41</v>
      </c>
      <c r="F962" s="33" t="s">
        <v>2267</v>
      </c>
      <c r="G962" s="17" t="s">
        <v>2268</v>
      </c>
      <c r="H962" s="16" t="s">
        <v>47</v>
      </c>
      <c r="I962" s="16">
        <v>3</v>
      </c>
      <c r="J962" s="16">
        <v>0</v>
      </c>
      <c r="K962" s="16">
        <f t="shared" ref="K962:K1025" si="17">I962+J962</f>
        <v>3</v>
      </c>
      <c r="L962" s="38">
        <v>20000000</v>
      </c>
      <c r="M962" s="33" t="s">
        <v>2256</v>
      </c>
      <c r="N962" s="67">
        <v>28800</v>
      </c>
      <c r="O962" s="16" t="s">
        <v>962</v>
      </c>
      <c r="P962" s="70">
        <v>176000000</v>
      </c>
      <c r="Q962" s="33" t="s">
        <v>2257</v>
      </c>
      <c r="R962" s="67">
        <v>28800</v>
      </c>
      <c r="S962" s="16" t="s">
        <v>422</v>
      </c>
      <c r="T962" s="67">
        <v>156672000</v>
      </c>
      <c r="U962" s="16" t="s">
        <v>22</v>
      </c>
      <c r="V962" s="16"/>
      <c r="W962" s="16"/>
      <c r="X962" s="16"/>
      <c r="Y962" s="16">
        <v>60</v>
      </c>
      <c r="Z962" s="16">
        <v>40</v>
      </c>
      <c r="AA962" s="16">
        <v>0</v>
      </c>
      <c r="AB962" s="16">
        <v>0</v>
      </c>
      <c r="AC962" s="16" t="s">
        <v>2269</v>
      </c>
      <c r="AD962" s="68"/>
      <c r="AE962" s="23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</row>
    <row r="963" spans="1:84" s="2" customFormat="1" x14ac:dyDescent="0.2">
      <c r="A963" s="17" t="s">
        <v>3921</v>
      </c>
      <c r="B963" s="17" t="s">
        <v>45</v>
      </c>
      <c r="C963" s="17">
        <v>2025</v>
      </c>
      <c r="D963" s="17" t="str">
        <f t="array" ref="D963">_xlfn.SWITCH(E963,"Bagor","35.18.14","Sukomoro",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963" s="16" t="s">
        <v>71</v>
      </c>
      <c r="F963" s="33" t="s">
        <v>1534</v>
      </c>
      <c r="G963" s="33" t="s">
        <v>2270</v>
      </c>
      <c r="H963" s="16" t="s">
        <v>47</v>
      </c>
      <c r="I963" s="16">
        <v>5</v>
      </c>
      <c r="J963" s="16">
        <v>0</v>
      </c>
      <c r="K963" s="16">
        <f t="shared" si="17"/>
        <v>5</v>
      </c>
      <c r="L963" s="38">
        <v>50000000</v>
      </c>
      <c r="M963" s="17" t="s">
        <v>1518</v>
      </c>
      <c r="N963" s="67">
        <v>1500</v>
      </c>
      <c r="O963" s="16" t="s">
        <v>1263</v>
      </c>
      <c r="P963" s="70">
        <v>144000000</v>
      </c>
      <c r="Q963" s="33" t="s">
        <v>1680</v>
      </c>
      <c r="R963" s="67">
        <v>140</v>
      </c>
      <c r="S963" s="16" t="s">
        <v>69</v>
      </c>
      <c r="T963" s="67">
        <v>100000000</v>
      </c>
      <c r="U963" s="16" t="s">
        <v>22</v>
      </c>
      <c r="V963" s="16"/>
      <c r="W963" s="16"/>
      <c r="X963" s="16"/>
      <c r="Y963" s="16">
        <v>100</v>
      </c>
      <c r="Z963" s="16">
        <v>0</v>
      </c>
      <c r="AA963" s="16">
        <v>0</v>
      </c>
      <c r="AB963" s="16">
        <v>0</v>
      </c>
      <c r="AC963" s="16" t="s">
        <v>2271</v>
      </c>
      <c r="AD963" s="68"/>
      <c r="AE963" s="23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</row>
    <row r="964" spans="1:84" s="2" customFormat="1" x14ac:dyDescent="0.2">
      <c r="A964" s="17" t="s">
        <v>3921</v>
      </c>
      <c r="B964" s="17" t="s">
        <v>45</v>
      </c>
      <c r="C964" s="17">
        <v>2025</v>
      </c>
      <c r="D964" s="17" t="str">
        <f t="array" ref="D964">_xlfn.SWITCH(E964,"Bagor","35.18.14","Sukomoro",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964" s="16" t="s">
        <v>124</v>
      </c>
      <c r="F964" s="33" t="s">
        <v>2272</v>
      </c>
      <c r="G964" s="33" t="s">
        <v>2273</v>
      </c>
      <c r="H964" s="16" t="s">
        <v>47</v>
      </c>
      <c r="I964" s="16">
        <v>5</v>
      </c>
      <c r="J964" s="16">
        <v>0</v>
      </c>
      <c r="K964" s="16">
        <f t="shared" si="17"/>
        <v>5</v>
      </c>
      <c r="L964" s="38">
        <v>45000000</v>
      </c>
      <c r="M964" s="17" t="s">
        <v>2219</v>
      </c>
      <c r="N964" s="33">
        <v>864</v>
      </c>
      <c r="O964" s="16" t="s">
        <v>69</v>
      </c>
      <c r="P964" s="70">
        <v>158000000</v>
      </c>
      <c r="Q964" s="33" t="s">
        <v>50</v>
      </c>
      <c r="R964" s="67">
        <v>1080</v>
      </c>
      <c r="S964" s="16" t="s">
        <v>69</v>
      </c>
      <c r="T964" s="67">
        <v>58000000</v>
      </c>
      <c r="U964" s="16" t="s">
        <v>22</v>
      </c>
      <c r="V964" s="16"/>
      <c r="W964" s="16"/>
      <c r="X964" s="16"/>
      <c r="Y964" s="16">
        <v>100</v>
      </c>
      <c r="Z964" s="16">
        <v>0</v>
      </c>
      <c r="AA964" s="16">
        <v>0</v>
      </c>
      <c r="AB964" s="16">
        <v>0</v>
      </c>
      <c r="AC964" s="33" t="s">
        <v>2274</v>
      </c>
      <c r="AD964" s="68"/>
      <c r="AE964" s="23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</row>
    <row r="965" spans="1:84" s="2" customFormat="1" x14ac:dyDescent="0.2">
      <c r="A965" s="17" t="s">
        <v>3921</v>
      </c>
      <c r="B965" s="17" t="s">
        <v>45</v>
      </c>
      <c r="C965" s="17">
        <v>2025</v>
      </c>
      <c r="D965" s="17" t="str">
        <f t="array" ref="D965">_xlfn.SWITCH(E965,"Bagor","35.18.14","Sukomoro",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965" s="16" t="s">
        <v>71</v>
      </c>
      <c r="F965" s="33" t="s">
        <v>1534</v>
      </c>
      <c r="G965" s="33" t="s">
        <v>2275</v>
      </c>
      <c r="H965" s="16" t="s">
        <v>47</v>
      </c>
      <c r="I965" s="16">
        <v>4</v>
      </c>
      <c r="J965" s="16">
        <v>0</v>
      </c>
      <c r="K965" s="16">
        <f t="shared" si="17"/>
        <v>4</v>
      </c>
      <c r="L965" s="38">
        <v>30000000</v>
      </c>
      <c r="M965" s="17" t="s">
        <v>2219</v>
      </c>
      <c r="N965" s="33">
        <v>668</v>
      </c>
      <c r="O965" s="16" t="s">
        <v>69</v>
      </c>
      <c r="P965" s="70">
        <v>84480000</v>
      </c>
      <c r="Q965" s="33" t="s">
        <v>50</v>
      </c>
      <c r="R965" s="67">
        <v>1100</v>
      </c>
      <c r="S965" s="16" t="s">
        <v>69</v>
      </c>
      <c r="T965" s="67">
        <v>60000000</v>
      </c>
      <c r="U965" s="16" t="s">
        <v>22</v>
      </c>
      <c r="V965" s="16"/>
      <c r="W965" s="16"/>
      <c r="X965" s="16"/>
      <c r="Y965" s="16">
        <v>75</v>
      </c>
      <c r="Z965" s="16">
        <v>25</v>
      </c>
      <c r="AA965" s="16">
        <v>0</v>
      </c>
      <c r="AB965" s="16">
        <v>0</v>
      </c>
      <c r="AC965" s="33" t="s">
        <v>2276</v>
      </c>
      <c r="AD965" s="68"/>
      <c r="AE965" s="23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</row>
    <row r="966" spans="1:84" s="2" customFormat="1" x14ac:dyDescent="0.2">
      <c r="A966" s="17" t="s">
        <v>3921</v>
      </c>
      <c r="B966" s="17" t="s">
        <v>45</v>
      </c>
      <c r="C966" s="17">
        <v>2025</v>
      </c>
      <c r="D966" s="17" t="str">
        <f t="array" ref="D966">_xlfn.SWITCH(E966,"Jatikalen","35.18.20","Kertosono", "35.18.08","Lengkong","35.18.19","Loceret","35.18.04","Tanjunganom","35.18.11","Wilangan","35.18.15")</f>
        <v>35.18.04</v>
      </c>
      <c r="E966" s="16" t="s">
        <v>41</v>
      </c>
      <c r="F966" s="33" t="s">
        <v>2277</v>
      </c>
      <c r="G966" s="33" t="s">
        <v>2278</v>
      </c>
      <c r="H966" s="16" t="s">
        <v>47</v>
      </c>
      <c r="I966" s="16">
        <v>5</v>
      </c>
      <c r="J966" s="16">
        <v>0</v>
      </c>
      <c r="K966" s="16">
        <f t="shared" si="17"/>
        <v>5</v>
      </c>
      <c r="L966" s="38">
        <v>60000000</v>
      </c>
      <c r="M966" s="33" t="s">
        <v>258</v>
      </c>
      <c r="N966" s="67">
        <v>8640</v>
      </c>
      <c r="O966" s="16" t="s">
        <v>1803</v>
      </c>
      <c r="P966" s="70">
        <v>233280000</v>
      </c>
      <c r="Q966" s="33" t="s">
        <v>2279</v>
      </c>
      <c r="R966" s="67">
        <v>48</v>
      </c>
      <c r="S966" s="16" t="s">
        <v>2280</v>
      </c>
      <c r="T966" s="67">
        <v>137184000</v>
      </c>
      <c r="U966" s="16" t="s">
        <v>22</v>
      </c>
      <c r="V966" s="16"/>
      <c r="W966" s="16"/>
      <c r="X966" s="16"/>
      <c r="Y966" s="16">
        <v>100</v>
      </c>
      <c r="Z966" s="16">
        <v>0</v>
      </c>
      <c r="AA966" s="16">
        <v>0</v>
      </c>
      <c r="AB966" s="16">
        <v>0</v>
      </c>
      <c r="AC966" s="33" t="s">
        <v>2281</v>
      </c>
      <c r="AD966" s="68"/>
      <c r="AE966" s="23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</row>
    <row r="967" spans="1:84" s="2" customFormat="1" x14ac:dyDescent="0.2">
      <c r="A967" s="17" t="s">
        <v>3921</v>
      </c>
      <c r="B967" s="17" t="s">
        <v>45</v>
      </c>
      <c r="C967" s="17">
        <v>2025</v>
      </c>
      <c r="D967" s="17" t="str">
        <f t="array" ref="D967">_xlfn.SWITCH(E967,"Bagor","35.18.14","Sukomoro",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67" s="16" t="s">
        <v>29</v>
      </c>
      <c r="F967" s="33" t="s">
        <v>2282</v>
      </c>
      <c r="G967" s="33" t="s">
        <v>2283</v>
      </c>
      <c r="H967" s="16" t="s">
        <v>47</v>
      </c>
      <c r="I967" s="16">
        <v>3</v>
      </c>
      <c r="J967" s="16">
        <v>0</v>
      </c>
      <c r="K967" s="16">
        <f t="shared" si="17"/>
        <v>3</v>
      </c>
      <c r="L967" s="38">
        <v>100000000</v>
      </c>
      <c r="M967" s="17" t="s">
        <v>1518</v>
      </c>
      <c r="N967" s="33">
        <v>120</v>
      </c>
      <c r="O967" s="16" t="s">
        <v>1263</v>
      </c>
      <c r="P967" s="70">
        <v>169200000</v>
      </c>
      <c r="Q967" s="33" t="s">
        <v>1680</v>
      </c>
      <c r="R967" s="67">
        <v>142</v>
      </c>
      <c r="S967" s="16" t="s">
        <v>69</v>
      </c>
      <c r="T967" s="67">
        <v>125000000</v>
      </c>
      <c r="U967" s="16" t="s">
        <v>22</v>
      </c>
      <c r="V967" s="16"/>
      <c r="W967" s="16"/>
      <c r="X967" s="16"/>
      <c r="Y967" s="16">
        <v>60</v>
      </c>
      <c r="Z967" s="16">
        <v>40</v>
      </c>
      <c r="AA967" s="16">
        <v>0</v>
      </c>
      <c r="AB967" s="16">
        <v>0</v>
      </c>
      <c r="AC967" s="16" t="s">
        <v>2284</v>
      </c>
      <c r="AD967" s="68"/>
      <c r="AE967" s="23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</row>
    <row r="968" spans="1:84" s="2" customFormat="1" x14ac:dyDescent="0.2">
      <c r="A968" s="17" t="s">
        <v>3921</v>
      </c>
      <c r="B968" s="17" t="s">
        <v>45</v>
      </c>
      <c r="C968" s="17">
        <v>2025</v>
      </c>
      <c r="D968" s="17" t="str">
        <f t="array" ref="D968">_xlfn.SWITCH(E968,"Bagor","35.18.14","Sukomoro",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68" s="16" t="s">
        <v>29</v>
      </c>
      <c r="F968" s="33" t="s">
        <v>2282</v>
      </c>
      <c r="G968" s="33" t="s">
        <v>2285</v>
      </c>
      <c r="H968" s="16" t="s">
        <v>47</v>
      </c>
      <c r="I968" s="16">
        <v>1</v>
      </c>
      <c r="J968" s="16">
        <v>0</v>
      </c>
      <c r="K968" s="16">
        <f t="shared" si="17"/>
        <v>1</v>
      </c>
      <c r="L968" s="38">
        <v>15000000</v>
      </c>
      <c r="M968" s="17" t="s">
        <v>1518</v>
      </c>
      <c r="N968" s="33">
        <v>36</v>
      </c>
      <c r="O968" s="16" t="s">
        <v>1263</v>
      </c>
      <c r="P968" s="70">
        <v>37200000</v>
      </c>
      <c r="Q968" s="33" t="s">
        <v>1680</v>
      </c>
      <c r="R968" s="67">
        <v>45</v>
      </c>
      <c r="S968" s="16" t="s">
        <v>69</v>
      </c>
      <c r="T968" s="67">
        <v>27600000</v>
      </c>
      <c r="U968" s="16" t="s">
        <v>22</v>
      </c>
      <c r="V968" s="16"/>
      <c r="W968" s="16"/>
      <c r="X968" s="16"/>
      <c r="Y968" s="16">
        <v>90</v>
      </c>
      <c r="Z968" s="16">
        <v>10</v>
      </c>
      <c r="AA968" s="16">
        <v>0</v>
      </c>
      <c r="AB968" s="16">
        <v>0</v>
      </c>
      <c r="AC968" s="16" t="s">
        <v>2286</v>
      </c>
      <c r="AD968" s="68"/>
      <c r="AE968" s="23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</row>
    <row r="969" spans="1:84" s="2" customFormat="1" x14ac:dyDescent="0.2">
      <c r="A969" s="17" t="s">
        <v>3921</v>
      </c>
      <c r="B969" s="17" t="s">
        <v>45</v>
      </c>
      <c r="C969" s="17">
        <v>2025</v>
      </c>
      <c r="D969" s="17" t="str">
        <f t="array" ref="D969">_xlfn.SWITCH(E969,"Bagor","35.18.14","Sukomoro",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969" s="16" t="s">
        <v>55</v>
      </c>
      <c r="F969" s="33" t="s">
        <v>2287</v>
      </c>
      <c r="G969" s="33" t="s">
        <v>2288</v>
      </c>
      <c r="H969" s="16" t="s">
        <v>47</v>
      </c>
      <c r="I969" s="16">
        <v>4</v>
      </c>
      <c r="J969" s="16">
        <v>2</v>
      </c>
      <c r="K969" s="16">
        <f t="shared" si="17"/>
        <v>6</v>
      </c>
      <c r="L969" s="38">
        <v>120000000</v>
      </c>
      <c r="M969" s="33" t="s">
        <v>354</v>
      </c>
      <c r="N969" s="67">
        <v>14400</v>
      </c>
      <c r="O969" s="16" t="s">
        <v>422</v>
      </c>
      <c r="P969" s="70">
        <v>1728000000</v>
      </c>
      <c r="Q969" s="33" t="s">
        <v>1707</v>
      </c>
      <c r="R969" s="67">
        <v>5</v>
      </c>
      <c r="S969" s="16" t="s">
        <v>962</v>
      </c>
      <c r="T969" s="67">
        <v>22809600</v>
      </c>
      <c r="U969" s="16" t="s">
        <v>22</v>
      </c>
      <c r="V969" s="16"/>
      <c r="W969" s="16"/>
      <c r="X969" s="16"/>
      <c r="Y969" s="16">
        <v>80</v>
      </c>
      <c r="Z969" s="16">
        <v>20</v>
      </c>
      <c r="AA969" s="16">
        <v>0</v>
      </c>
      <c r="AB969" s="16">
        <v>0</v>
      </c>
      <c r="AC969" s="16" t="s">
        <v>2289</v>
      </c>
      <c r="AD969" s="68"/>
      <c r="AE969" s="23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</row>
    <row r="970" spans="1:84" s="2" customFormat="1" x14ac:dyDescent="0.2">
      <c r="A970" s="17" t="s">
        <v>3921</v>
      </c>
      <c r="B970" s="17" t="s">
        <v>45</v>
      </c>
      <c r="C970" s="17">
        <v>2025</v>
      </c>
      <c r="D970" s="17" t="str">
        <f t="array" ref="D970">_xlfn.SWITCH(E970,"Bagor","35.18.14","Sukomoro",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970" s="16" t="s">
        <v>55</v>
      </c>
      <c r="F970" s="33" t="s">
        <v>2290</v>
      </c>
      <c r="G970" s="33" t="s">
        <v>2291</v>
      </c>
      <c r="H970" s="16" t="s">
        <v>47</v>
      </c>
      <c r="I970" s="16">
        <v>2</v>
      </c>
      <c r="J970" s="16">
        <v>0</v>
      </c>
      <c r="K970" s="16">
        <f t="shared" si="17"/>
        <v>2</v>
      </c>
      <c r="L970" s="38">
        <v>10000000</v>
      </c>
      <c r="M970" s="17" t="s">
        <v>1518</v>
      </c>
      <c r="N970" s="33">
        <v>75</v>
      </c>
      <c r="O970" s="16" t="s">
        <v>1263</v>
      </c>
      <c r="P970" s="70">
        <v>43200000</v>
      </c>
      <c r="Q970" s="33" t="s">
        <v>1680</v>
      </c>
      <c r="R970" s="67">
        <v>55</v>
      </c>
      <c r="S970" s="16" t="s">
        <v>69</v>
      </c>
      <c r="T970" s="67">
        <v>35000000</v>
      </c>
      <c r="U970" s="16" t="s">
        <v>22</v>
      </c>
      <c r="V970" s="16"/>
      <c r="W970" s="16"/>
      <c r="X970" s="16"/>
      <c r="Y970" s="16">
        <v>90</v>
      </c>
      <c r="Z970" s="16">
        <v>10</v>
      </c>
      <c r="AA970" s="16">
        <v>0</v>
      </c>
      <c r="AB970" s="16">
        <v>0</v>
      </c>
      <c r="AC970" s="16" t="s">
        <v>2292</v>
      </c>
      <c r="AD970" s="68"/>
      <c r="AE970" s="23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</row>
    <row r="971" spans="1:84" s="2" customFormat="1" x14ac:dyDescent="0.2">
      <c r="A971" s="17" t="s">
        <v>3921</v>
      </c>
      <c r="B971" s="17" t="s">
        <v>45</v>
      </c>
      <c r="C971" s="17">
        <v>2025</v>
      </c>
      <c r="D971" s="17" t="str">
        <f t="array" ref="D971">_xlfn.SWITCH(E971,"Bagor","35.18.14","Sukomoro",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971" s="16" t="s">
        <v>124</v>
      </c>
      <c r="F971" s="33" t="s">
        <v>2293</v>
      </c>
      <c r="G971" s="33" t="s">
        <v>2294</v>
      </c>
      <c r="H971" s="16" t="s">
        <v>47</v>
      </c>
      <c r="I971" s="16">
        <v>4</v>
      </c>
      <c r="J971" s="16">
        <v>3</v>
      </c>
      <c r="K971" s="16">
        <f t="shared" si="17"/>
        <v>7</v>
      </c>
      <c r="L971" s="38">
        <v>25000000</v>
      </c>
      <c r="M971" s="33" t="s">
        <v>1047</v>
      </c>
      <c r="N971" s="67">
        <v>93600</v>
      </c>
      <c r="O971" s="16" t="s">
        <v>2295</v>
      </c>
      <c r="P971" s="70">
        <v>102960000</v>
      </c>
      <c r="Q971" s="33" t="s">
        <v>2296</v>
      </c>
      <c r="R971" s="67">
        <v>3600</v>
      </c>
      <c r="S971" s="16" t="s">
        <v>422</v>
      </c>
      <c r="T971" s="67">
        <v>54000000</v>
      </c>
      <c r="U971" s="16" t="s">
        <v>22</v>
      </c>
      <c r="V971" s="16"/>
      <c r="W971" s="16"/>
      <c r="X971" s="16"/>
      <c r="Y971" s="16">
        <v>70</v>
      </c>
      <c r="Z971" s="16">
        <v>30</v>
      </c>
      <c r="AA971" s="16">
        <v>0</v>
      </c>
      <c r="AB971" s="16">
        <v>0</v>
      </c>
      <c r="AC971" s="16" t="s">
        <v>2297</v>
      </c>
      <c r="AD971" s="68"/>
      <c r="AE971" s="23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</row>
    <row r="972" spans="1:84" s="2" customFormat="1" x14ac:dyDescent="0.2">
      <c r="A972" s="17" t="s">
        <v>3921</v>
      </c>
      <c r="B972" s="17" t="s">
        <v>45</v>
      </c>
      <c r="C972" s="17">
        <v>2025</v>
      </c>
      <c r="D972" s="17" t="str">
        <f t="array" ref="D972">_xlfn.SWITCH(E972,"Bagor","35.18.14","Sukomoro",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972" s="16" t="s">
        <v>140</v>
      </c>
      <c r="F972" s="33" t="s">
        <v>2298</v>
      </c>
      <c r="G972" s="33" t="s">
        <v>2299</v>
      </c>
      <c r="H972" s="16" t="s">
        <v>47</v>
      </c>
      <c r="I972" s="16">
        <v>2</v>
      </c>
      <c r="J972" s="16">
        <v>0</v>
      </c>
      <c r="K972" s="16">
        <f t="shared" si="17"/>
        <v>2</v>
      </c>
      <c r="L972" s="38">
        <v>20000000</v>
      </c>
      <c r="M972" s="17" t="s">
        <v>1518</v>
      </c>
      <c r="N972" s="33">
        <v>180</v>
      </c>
      <c r="O972" s="16" t="s">
        <v>1263</v>
      </c>
      <c r="P972" s="70">
        <v>78000000</v>
      </c>
      <c r="Q972" s="33" t="s">
        <v>1680</v>
      </c>
      <c r="R972" s="67">
        <v>60</v>
      </c>
      <c r="S972" s="16" t="s">
        <v>69</v>
      </c>
      <c r="T972" s="67">
        <v>65000000</v>
      </c>
      <c r="U972" s="16" t="s">
        <v>22</v>
      </c>
      <c r="V972" s="16"/>
      <c r="W972" s="16"/>
      <c r="X972" s="16"/>
      <c r="Y972" s="16">
        <v>60</v>
      </c>
      <c r="Z972" s="16">
        <v>40</v>
      </c>
      <c r="AA972" s="16">
        <v>0</v>
      </c>
      <c r="AB972" s="16">
        <v>0</v>
      </c>
      <c r="AC972" s="16" t="s">
        <v>2300</v>
      </c>
      <c r="AD972" s="68"/>
      <c r="AE972" s="23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</row>
    <row r="973" spans="1:84" s="2" customFormat="1" x14ac:dyDescent="0.2">
      <c r="A973" s="17" t="s">
        <v>3921</v>
      </c>
      <c r="B973" s="17" t="s">
        <v>45</v>
      </c>
      <c r="C973" s="17">
        <v>2025</v>
      </c>
      <c r="D973" s="17" t="str">
        <f t="array" ref="D973">_xlfn.SWITCH(E973,"Bagor","35.18.14","Sukomoro",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973" s="16" t="s">
        <v>140</v>
      </c>
      <c r="F973" s="33" t="s">
        <v>2301</v>
      </c>
      <c r="G973" s="33" t="s">
        <v>2302</v>
      </c>
      <c r="H973" s="16" t="s">
        <v>47</v>
      </c>
      <c r="I973" s="16">
        <v>2</v>
      </c>
      <c r="J973" s="16">
        <v>0</v>
      </c>
      <c r="K973" s="16">
        <f t="shared" si="17"/>
        <v>2</v>
      </c>
      <c r="L973" s="38">
        <v>15000000</v>
      </c>
      <c r="M973" s="17" t="s">
        <v>1518</v>
      </c>
      <c r="N973" s="33">
        <v>95</v>
      </c>
      <c r="O973" s="16" t="s">
        <v>1263</v>
      </c>
      <c r="P973" s="70">
        <v>45600000</v>
      </c>
      <c r="Q973" s="33" t="s">
        <v>1680</v>
      </c>
      <c r="R973" s="67">
        <v>19</v>
      </c>
      <c r="S973" s="16" t="s">
        <v>69</v>
      </c>
      <c r="T973" s="67">
        <v>36756000</v>
      </c>
      <c r="U973" s="16" t="s">
        <v>22</v>
      </c>
      <c r="V973" s="16"/>
      <c r="W973" s="16"/>
      <c r="X973" s="16"/>
      <c r="Y973" s="16">
        <v>65</v>
      </c>
      <c r="Z973" s="16">
        <v>35</v>
      </c>
      <c r="AA973" s="16">
        <v>0</v>
      </c>
      <c r="AB973" s="16">
        <v>0</v>
      </c>
      <c r="AC973" s="16" t="s">
        <v>2303</v>
      </c>
      <c r="AD973" s="68"/>
      <c r="AE973" s="23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</row>
    <row r="974" spans="1:84" s="2" customFormat="1" x14ac:dyDescent="0.2">
      <c r="A974" s="17" t="s">
        <v>3921</v>
      </c>
      <c r="B974" s="17" t="s">
        <v>45</v>
      </c>
      <c r="C974" s="17">
        <v>2025</v>
      </c>
      <c r="D974" s="17" t="str">
        <f t="array" ref="D974">_xlfn.SWITCH(E974,"Jatikalen","35.18.20","Kertosono", "35.18.08","Lengkong","35.18.19","Loceret","35.18.04","Tanjunganom","35.18.11","Wilangan","35.18.15")</f>
        <v>35.18.19</v>
      </c>
      <c r="E974" s="16" t="s">
        <v>64</v>
      </c>
      <c r="F974" s="33" t="s">
        <v>2304</v>
      </c>
      <c r="G974" s="33" t="s">
        <v>2305</v>
      </c>
      <c r="H974" s="16" t="s">
        <v>47</v>
      </c>
      <c r="I974" s="16">
        <v>3</v>
      </c>
      <c r="J974" s="16">
        <v>0</v>
      </c>
      <c r="K974" s="16">
        <f t="shared" si="17"/>
        <v>3</v>
      </c>
      <c r="L974" s="38">
        <v>15000000</v>
      </c>
      <c r="M974" s="33" t="s">
        <v>2306</v>
      </c>
      <c r="N974" s="67">
        <v>5760</v>
      </c>
      <c r="O974" s="16" t="s">
        <v>1130</v>
      </c>
      <c r="P974" s="70">
        <v>69120000</v>
      </c>
      <c r="Q974" s="33" t="s">
        <v>1680</v>
      </c>
      <c r="R974" s="67">
        <v>12</v>
      </c>
      <c r="S974" s="16" t="s">
        <v>69</v>
      </c>
      <c r="T974" s="67">
        <v>27780000</v>
      </c>
      <c r="U974" s="16" t="s">
        <v>22</v>
      </c>
      <c r="V974" s="16"/>
      <c r="W974" s="16"/>
      <c r="X974" s="16"/>
      <c r="Y974" s="16">
        <v>65</v>
      </c>
      <c r="Z974" s="16">
        <v>35</v>
      </c>
      <c r="AA974" s="16">
        <v>0</v>
      </c>
      <c r="AB974" s="16">
        <v>0</v>
      </c>
      <c r="AC974" s="16" t="s">
        <v>2307</v>
      </c>
      <c r="AD974" s="68"/>
      <c r="AE974" s="23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</row>
    <row r="975" spans="1:84" s="2" customFormat="1" x14ac:dyDescent="0.2">
      <c r="A975" s="17" t="s">
        <v>3921</v>
      </c>
      <c r="B975" s="17" t="s">
        <v>45</v>
      </c>
      <c r="C975" s="17">
        <v>2025</v>
      </c>
      <c r="D975" s="17" t="str">
        <f t="array" ref="D975">_xlfn.SWITCH(E975,"Jatikalen","35.18.20","Kertosono", "35.18.08","Lengkong","35.18.19","Loceret","35.18.04","Tanjunganom","35.18.11","Wilangan","35.18.15")</f>
        <v>35.18.19</v>
      </c>
      <c r="E975" s="16" t="s">
        <v>64</v>
      </c>
      <c r="F975" s="33" t="s">
        <v>2308</v>
      </c>
      <c r="G975" s="33" t="s">
        <v>2309</v>
      </c>
      <c r="H975" s="16" t="s">
        <v>47</v>
      </c>
      <c r="I975" s="16">
        <v>3</v>
      </c>
      <c r="J975" s="16">
        <v>0</v>
      </c>
      <c r="K975" s="16">
        <f t="shared" si="17"/>
        <v>3</v>
      </c>
      <c r="L975" s="38">
        <v>30000000</v>
      </c>
      <c r="M975" s="17" t="s">
        <v>1518</v>
      </c>
      <c r="N975" s="33">
        <v>950</v>
      </c>
      <c r="O975" s="16" t="s">
        <v>1263</v>
      </c>
      <c r="P975" s="70">
        <v>244000000</v>
      </c>
      <c r="Q975" s="33" t="s">
        <v>1680</v>
      </c>
      <c r="R975" s="67">
        <v>860</v>
      </c>
      <c r="S975" s="16" t="s">
        <v>69</v>
      </c>
      <c r="T975" s="67">
        <v>165672000</v>
      </c>
      <c r="U975" s="16" t="s">
        <v>22</v>
      </c>
      <c r="V975" s="16"/>
      <c r="W975" s="16"/>
      <c r="X975" s="16"/>
      <c r="Y975" s="16">
        <v>60</v>
      </c>
      <c r="Z975" s="16">
        <v>40</v>
      </c>
      <c r="AA975" s="16">
        <v>0</v>
      </c>
      <c r="AB975" s="16">
        <v>0</v>
      </c>
      <c r="AC975" s="16" t="s">
        <v>2310</v>
      </c>
      <c r="AD975" s="68"/>
      <c r="AE975" s="23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</row>
    <row r="976" spans="1:84" s="2" customFormat="1" x14ac:dyDescent="0.2">
      <c r="A976" s="17" t="s">
        <v>3921</v>
      </c>
      <c r="B976" s="17" t="s">
        <v>45</v>
      </c>
      <c r="C976" s="17">
        <v>2025</v>
      </c>
      <c r="D976" s="17" t="str">
        <f t="array" ref="D976">_xlfn.SWITCH(E976,"Bagor","35.18.14","Sukomoro",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976" s="16" t="s">
        <v>188</v>
      </c>
      <c r="F976" s="33" t="s">
        <v>2311</v>
      </c>
      <c r="G976" s="33" t="s">
        <v>2312</v>
      </c>
      <c r="H976" s="16" t="s">
        <v>47</v>
      </c>
      <c r="I976" s="16">
        <v>1</v>
      </c>
      <c r="J976" s="16">
        <v>0</v>
      </c>
      <c r="K976" s="16">
        <f t="shared" si="17"/>
        <v>1</v>
      </c>
      <c r="L976" s="38">
        <v>10000000</v>
      </c>
      <c r="M976" s="17" t="s">
        <v>1518</v>
      </c>
      <c r="N976" s="33">
        <v>840</v>
      </c>
      <c r="O976" s="16" t="s">
        <v>1263</v>
      </c>
      <c r="P976" s="70">
        <v>214200000</v>
      </c>
      <c r="Q976" s="33" t="s">
        <v>1680</v>
      </c>
      <c r="R976" s="67">
        <v>65</v>
      </c>
      <c r="S976" s="16" t="s">
        <v>69</v>
      </c>
      <c r="T976" s="67">
        <v>66756000</v>
      </c>
      <c r="U976" s="16" t="s">
        <v>22</v>
      </c>
      <c r="V976" s="16"/>
      <c r="W976" s="16"/>
      <c r="X976" s="16"/>
      <c r="Y976" s="16">
        <v>55</v>
      </c>
      <c r="Z976" s="16">
        <v>45</v>
      </c>
      <c r="AA976" s="16">
        <v>0</v>
      </c>
      <c r="AB976" s="16">
        <v>0</v>
      </c>
      <c r="AC976" s="16"/>
      <c r="AD976" s="68"/>
      <c r="AE976" s="23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</row>
    <row r="977" spans="1:84" s="2" customFormat="1" x14ac:dyDescent="0.2">
      <c r="A977" s="17" t="s">
        <v>3921</v>
      </c>
      <c r="B977" s="17" t="s">
        <v>45</v>
      </c>
      <c r="C977" s="17">
        <v>2025</v>
      </c>
      <c r="D977" s="17" t="str">
        <f t="array" ref="D977">_xlfn.SWITCH(E977,"Bagor","35.18.14","Sukomoro",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977" s="16" t="s">
        <v>785</v>
      </c>
      <c r="F977" s="33" t="s">
        <v>1457</v>
      </c>
      <c r="G977" s="33" t="s">
        <v>2313</v>
      </c>
      <c r="H977" s="16" t="s">
        <v>47</v>
      </c>
      <c r="I977" s="16">
        <v>20</v>
      </c>
      <c r="J977" s="16">
        <v>0</v>
      </c>
      <c r="K977" s="16">
        <f t="shared" si="17"/>
        <v>20</v>
      </c>
      <c r="L977" s="38">
        <v>100000000</v>
      </c>
      <c r="M977" s="17" t="s">
        <v>1518</v>
      </c>
      <c r="N977" s="33">
        <v>84</v>
      </c>
      <c r="O977" s="16" t="s">
        <v>1459</v>
      </c>
      <c r="P977" s="70">
        <v>210000000</v>
      </c>
      <c r="Q977" s="33" t="s">
        <v>2314</v>
      </c>
      <c r="R977" s="67">
        <v>2016</v>
      </c>
      <c r="S977" s="16" t="s">
        <v>1130</v>
      </c>
      <c r="T977" s="67">
        <v>168000000</v>
      </c>
      <c r="U977" s="16" t="s">
        <v>22</v>
      </c>
      <c r="V977" s="16"/>
      <c r="W977" s="16"/>
      <c r="X977" s="16"/>
      <c r="Y977" s="16">
        <v>70</v>
      </c>
      <c r="Z977" s="16">
        <v>30</v>
      </c>
      <c r="AA977" s="16">
        <v>0</v>
      </c>
      <c r="AB977" s="16">
        <v>0</v>
      </c>
      <c r="AC977" s="16" t="s">
        <v>2315</v>
      </c>
      <c r="AD977" s="68"/>
      <c r="AE977" s="23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</row>
    <row r="978" spans="1:84" s="2" customFormat="1" x14ac:dyDescent="0.2">
      <c r="A978" s="17" t="s">
        <v>3921</v>
      </c>
      <c r="B978" s="17" t="s">
        <v>45</v>
      </c>
      <c r="C978" s="17">
        <v>2025</v>
      </c>
      <c r="D978" s="17" t="str">
        <f t="array" ref="D978">_xlfn.SWITCH(E978,"Bagor","35.18.14","Sukomoro",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978" s="16" t="s">
        <v>188</v>
      </c>
      <c r="F978" s="33" t="s">
        <v>2316</v>
      </c>
      <c r="G978" s="33" t="s">
        <v>2317</v>
      </c>
      <c r="H978" s="16" t="s">
        <v>47</v>
      </c>
      <c r="I978" s="16">
        <v>6</v>
      </c>
      <c r="J978" s="16">
        <v>0</v>
      </c>
      <c r="K978" s="16">
        <f t="shared" si="17"/>
        <v>6</v>
      </c>
      <c r="L978" s="38">
        <v>75000000</v>
      </c>
      <c r="M978" s="17" t="s">
        <v>1518</v>
      </c>
      <c r="N978" s="33">
        <v>36</v>
      </c>
      <c r="O978" s="16" t="s">
        <v>1263</v>
      </c>
      <c r="P978" s="70">
        <v>72000000</v>
      </c>
      <c r="Q978" s="33" t="s">
        <v>1680</v>
      </c>
      <c r="R978" s="67">
        <v>60</v>
      </c>
      <c r="S978" s="16" t="s">
        <v>69</v>
      </c>
      <c r="T978" s="67">
        <v>48000000</v>
      </c>
      <c r="U978" s="16" t="s">
        <v>22</v>
      </c>
      <c r="V978" s="16"/>
      <c r="W978" s="16"/>
      <c r="X978" s="16"/>
      <c r="Y978" s="16">
        <v>60</v>
      </c>
      <c r="Z978" s="16">
        <v>40</v>
      </c>
      <c r="AA978" s="16">
        <v>0</v>
      </c>
      <c r="AB978" s="16">
        <v>0</v>
      </c>
      <c r="AC978" s="16" t="s">
        <v>2318</v>
      </c>
      <c r="AD978" s="68"/>
      <c r="AE978" s="23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</row>
    <row r="979" spans="1:84" s="2" customFormat="1" x14ac:dyDescent="0.2">
      <c r="A979" s="17" t="s">
        <v>3921</v>
      </c>
      <c r="B979" s="17" t="s">
        <v>45</v>
      </c>
      <c r="C979" s="17">
        <v>2025</v>
      </c>
      <c r="D979" s="17" t="str">
        <f t="array" ref="D979">_xlfn.SWITCH(E979,"Bagor","35.18.14","Sukomoro",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979" s="16" t="s">
        <v>188</v>
      </c>
      <c r="F979" s="33" t="s">
        <v>2319</v>
      </c>
      <c r="G979" s="33" t="s">
        <v>2320</v>
      </c>
      <c r="H979" s="16" t="s">
        <v>47</v>
      </c>
      <c r="I979" s="16">
        <v>2</v>
      </c>
      <c r="J979" s="16">
        <v>0</v>
      </c>
      <c r="K979" s="16">
        <f t="shared" si="17"/>
        <v>2</v>
      </c>
      <c r="L979" s="38">
        <v>20000000</v>
      </c>
      <c r="M979" s="17" t="s">
        <v>1518</v>
      </c>
      <c r="N979" s="33">
        <v>84</v>
      </c>
      <c r="O979" s="16" t="s">
        <v>1263</v>
      </c>
      <c r="P979" s="70">
        <v>81600000</v>
      </c>
      <c r="Q979" s="33" t="s">
        <v>1680</v>
      </c>
      <c r="R979" s="67">
        <v>60</v>
      </c>
      <c r="S979" s="16" t="s">
        <v>69</v>
      </c>
      <c r="T979" s="67">
        <v>56400000</v>
      </c>
      <c r="U979" s="16" t="s">
        <v>22</v>
      </c>
      <c r="V979" s="16"/>
      <c r="W979" s="16"/>
      <c r="X979" s="16"/>
      <c r="Y979" s="16">
        <v>55</v>
      </c>
      <c r="Z979" s="16">
        <v>45</v>
      </c>
      <c r="AA979" s="16">
        <v>0</v>
      </c>
      <c r="AB979" s="16">
        <v>0</v>
      </c>
      <c r="AC979" s="16" t="s">
        <v>2321</v>
      </c>
      <c r="AD979" s="68"/>
      <c r="AE979" s="23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</row>
    <row r="980" spans="1:84" s="2" customFormat="1" x14ac:dyDescent="0.2">
      <c r="A980" s="17" t="s">
        <v>3921</v>
      </c>
      <c r="B980" s="17" t="s">
        <v>45</v>
      </c>
      <c r="C980" s="17">
        <v>2025</v>
      </c>
      <c r="D980" s="17" t="str">
        <f t="array" ref="D980">_xlfn.SWITCH(E980,"Bagor","35.18.14","Sukomoro",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80" s="16" t="s">
        <v>114</v>
      </c>
      <c r="F980" s="33" t="s">
        <v>2322</v>
      </c>
      <c r="G980" s="33" t="s">
        <v>2323</v>
      </c>
      <c r="H980" s="16" t="s">
        <v>47</v>
      </c>
      <c r="I980" s="16">
        <v>3</v>
      </c>
      <c r="J980" s="16">
        <v>0</v>
      </c>
      <c r="K980" s="16">
        <f t="shared" si="17"/>
        <v>3</v>
      </c>
      <c r="L980" s="38">
        <v>30000000</v>
      </c>
      <c r="M980" s="33" t="s">
        <v>871</v>
      </c>
      <c r="N980" s="67">
        <v>192000</v>
      </c>
      <c r="O980" s="16" t="s">
        <v>962</v>
      </c>
      <c r="P980" s="70">
        <v>288000000</v>
      </c>
      <c r="Q980" s="33" t="s">
        <v>50</v>
      </c>
      <c r="R980" s="67">
        <v>2016</v>
      </c>
      <c r="S980" s="16" t="s">
        <v>2201</v>
      </c>
      <c r="T980" s="67">
        <v>58800000</v>
      </c>
      <c r="U980" s="16" t="s">
        <v>22</v>
      </c>
      <c r="V980" s="16"/>
      <c r="W980" s="16"/>
      <c r="X980" s="16"/>
      <c r="Y980" s="16">
        <v>70</v>
      </c>
      <c r="Z980" s="16">
        <v>30</v>
      </c>
      <c r="AA980" s="16">
        <v>0</v>
      </c>
      <c r="AB980" s="16">
        <v>0</v>
      </c>
      <c r="AC980" s="16" t="s">
        <v>2324</v>
      </c>
      <c r="AD980" s="68"/>
      <c r="AE980" s="23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</row>
    <row r="981" spans="1:84" s="2" customFormat="1" x14ac:dyDescent="0.2">
      <c r="A981" s="17" t="s">
        <v>3921</v>
      </c>
      <c r="B981" s="17" t="s">
        <v>45</v>
      </c>
      <c r="C981" s="17">
        <v>2025</v>
      </c>
      <c r="D981" s="17" t="str">
        <f t="array" ref="D981">_xlfn.SWITCH(E981,"Bagor","35.18.14","Sukomoro",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981" s="16" t="s">
        <v>162</v>
      </c>
      <c r="F981" s="33" t="s">
        <v>2325</v>
      </c>
      <c r="G981" s="33" t="s">
        <v>2326</v>
      </c>
      <c r="H981" s="16" t="s">
        <v>47</v>
      </c>
      <c r="I981" s="16">
        <v>3</v>
      </c>
      <c r="J981" s="16">
        <v>1</v>
      </c>
      <c r="K981" s="16">
        <f t="shared" si="17"/>
        <v>4</v>
      </c>
      <c r="L981" s="38">
        <v>35000000</v>
      </c>
      <c r="M981" s="33" t="s">
        <v>2327</v>
      </c>
      <c r="N981" s="67">
        <v>6720</v>
      </c>
      <c r="O981" s="16" t="s">
        <v>2328</v>
      </c>
      <c r="P981" s="70">
        <v>35000000</v>
      </c>
      <c r="Q981" s="33" t="s">
        <v>2329</v>
      </c>
      <c r="R981" s="38" t="s">
        <v>2330</v>
      </c>
      <c r="S981" s="16" t="s">
        <v>2331</v>
      </c>
      <c r="T981" s="67">
        <v>136800000</v>
      </c>
      <c r="U981" s="16" t="s">
        <v>22</v>
      </c>
      <c r="V981" s="16"/>
      <c r="W981" s="16"/>
      <c r="X981" s="16"/>
      <c r="Y981" s="16">
        <v>75</v>
      </c>
      <c r="Z981" s="16">
        <v>25</v>
      </c>
      <c r="AA981" s="16">
        <v>0</v>
      </c>
      <c r="AB981" s="16">
        <v>0</v>
      </c>
      <c r="AC981" s="16" t="s">
        <v>2332</v>
      </c>
      <c r="AD981" s="68"/>
      <c r="AE981" s="23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</row>
    <row r="982" spans="1:84" s="2" customFormat="1" x14ac:dyDescent="0.2">
      <c r="A982" s="17" t="s">
        <v>3921</v>
      </c>
      <c r="B982" s="17" t="s">
        <v>45</v>
      </c>
      <c r="C982" s="17">
        <v>2025</v>
      </c>
      <c r="D982" s="17" t="str">
        <f t="array" ref="D982">_xlfn.SWITCH(E982,"Bagor","35.18.14","Sukomoro",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82" s="16" t="s">
        <v>157</v>
      </c>
      <c r="F982" s="33" t="s">
        <v>1796</v>
      </c>
      <c r="G982" s="33" t="s">
        <v>2333</v>
      </c>
      <c r="H982" s="16" t="s">
        <v>47</v>
      </c>
      <c r="I982" s="16">
        <v>3</v>
      </c>
      <c r="J982" s="16">
        <v>0</v>
      </c>
      <c r="K982" s="16">
        <f t="shared" si="17"/>
        <v>3</v>
      </c>
      <c r="L982" s="38">
        <v>30000000</v>
      </c>
      <c r="M982" s="17" t="s">
        <v>1518</v>
      </c>
      <c r="N982" s="33">
        <v>144</v>
      </c>
      <c r="O982" s="16" t="s">
        <v>1116</v>
      </c>
      <c r="P982" s="70">
        <v>144000000</v>
      </c>
      <c r="Q982" s="33" t="s">
        <v>1680</v>
      </c>
      <c r="R982" s="67">
        <v>36</v>
      </c>
      <c r="S982" s="16" t="s">
        <v>69</v>
      </c>
      <c r="T982" s="67">
        <v>111360000</v>
      </c>
      <c r="U982" s="16" t="s">
        <v>22</v>
      </c>
      <c r="V982" s="16"/>
      <c r="W982" s="16"/>
      <c r="X982" s="16"/>
      <c r="Y982" s="16">
        <v>50</v>
      </c>
      <c r="Z982" s="16">
        <v>50</v>
      </c>
      <c r="AA982" s="16">
        <v>0</v>
      </c>
      <c r="AB982" s="16">
        <v>0</v>
      </c>
      <c r="AC982" s="16" t="s">
        <v>2334</v>
      </c>
      <c r="AD982" s="68"/>
      <c r="AE982" s="23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</row>
    <row r="983" spans="1:84" s="2" customFormat="1" x14ac:dyDescent="0.2">
      <c r="A983" s="17" t="s">
        <v>3921</v>
      </c>
      <c r="B983" s="17" t="s">
        <v>45</v>
      </c>
      <c r="C983" s="17">
        <v>2025</v>
      </c>
      <c r="D983" s="17" t="str">
        <f t="array" ref="D983">_xlfn.SWITCH(E983,"Jatikalen","35.18.20","Kertosono", "35.18.08","Lengkong","35.18.19","Loceret","35.18.04","Tanjunganom","35.18.11","Wilangan","35.18.15")</f>
        <v>35.18.11</v>
      </c>
      <c r="E983" s="16" t="s">
        <v>60</v>
      </c>
      <c r="F983" s="33" t="s">
        <v>1643</v>
      </c>
      <c r="G983" s="33" t="s">
        <v>2335</v>
      </c>
      <c r="H983" s="16" t="s">
        <v>47</v>
      </c>
      <c r="I983" s="16">
        <v>14</v>
      </c>
      <c r="J983" s="16">
        <v>0</v>
      </c>
      <c r="K983" s="16">
        <f t="shared" si="17"/>
        <v>14</v>
      </c>
      <c r="L983" s="38">
        <v>210000000</v>
      </c>
      <c r="M983" s="33" t="s">
        <v>2336</v>
      </c>
      <c r="N983" s="67">
        <v>230400</v>
      </c>
      <c r="O983" s="16" t="s">
        <v>962</v>
      </c>
      <c r="P983" s="70">
        <v>1820160000</v>
      </c>
      <c r="Q983" s="33" t="s">
        <v>2337</v>
      </c>
      <c r="R983" s="67" t="s">
        <v>2338</v>
      </c>
      <c r="S983" s="16" t="s">
        <v>422</v>
      </c>
      <c r="T983" s="67">
        <v>1137600000</v>
      </c>
      <c r="U983" s="16" t="s">
        <v>22</v>
      </c>
      <c r="V983" s="16"/>
      <c r="W983" s="16"/>
      <c r="X983" s="16"/>
      <c r="Y983" s="16">
        <v>30</v>
      </c>
      <c r="Z983" s="16">
        <v>35</v>
      </c>
      <c r="AA983" s="16">
        <v>35</v>
      </c>
      <c r="AB983" s="16">
        <v>0</v>
      </c>
      <c r="AC983" s="16" t="s">
        <v>2339</v>
      </c>
      <c r="AD983" s="68"/>
      <c r="AE983" s="23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</row>
    <row r="984" spans="1:84" s="2" customFormat="1" x14ac:dyDescent="0.2">
      <c r="A984" s="17" t="s">
        <v>3921</v>
      </c>
      <c r="B984" s="17" t="s">
        <v>45</v>
      </c>
      <c r="C984" s="17">
        <v>2025</v>
      </c>
      <c r="D984" s="17" t="str">
        <f t="array" ref="D984">_xlfn.SWITCH(E984,"Bagor","35.18.14","Sukomoro",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84" s="16" t="s">
        <v>157</v>
      </c>
      <c r="F984" s="33" t="s">
        <v>1558</v>
      </c>
      <c r="G984" s="33" t="s">
        <v>2340</v>
      </c>
      <c r="H984" s="16" t="s">
        <v>47</v>
      </c>
      <c r="I984" s="16">
        <v>5</v>
      </c>
      <c r="J984" s="16">
        <v>1</v>
      </c>
      <c r="K984" s="16">
        <f t="shared" si="17"/>
        <v>6</v>
      </c>
      <c r="L984" s="38">
        <v>432000000</v>
      </c>
      <c r="M984" s="33" t="s">
        <v>1424</v>
      </c>
      <c r="N984" s="33">
        <v>5000</v>
      </c>
      <c r="O984" s="16" t="s">
        <v>2341</v>
      </c>
      <c r="P984" s="70">
        <v>360000000</v>
      </c>
      <c r="Q984" s="33" t="s">
        <v>2265</v>
      </c>
      <c r="R984" s="67">
        <v>21600</v>
      </c>
      <c r="S984" s="16" t="s">
        <v>422</v>
      </c>
      <c r="T984" s="67">
        <v>267120000</v>
      </c>
      <c r="U984" s="16" t="s">
        <v>22</v>
      </c>
      <c r="V984" s="16"/>
      <c r="W984" s="16"/>
      <c r="X984" s="16"/>
      <c r="Y984" s="16">
        <v>80</v>
      </c>
      <c r="Z984" s="16">
        <v>20</v>
      </c>
      <c r="AA984" s="16">
        <v>0</v>
      </c>
      <c r="AB984" s="16">
        <v>0</v>
      </c>
      <c r="AC984" s="16" t="s">
        <v>2342</v>
      </c>
      <c r="AD984" s="68"/>
      <c r="AE984" s="23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</row>
    <row r="985" spans="1:84" s="2" customFormat="1" x14ac:dyDescent="0.2">
      <c r="A985" s="17" t="s">
        <v>3921</v>
      </c>
      <c r="B985" s="17" t="s">
        <v>45</v>
      </c>
      <c r="C985" s="17">
        <v>2025</v>
      </c>
      <c r="D985" s="17" t="str">
        <f t="array" ref="D985">_xlfn.SWITCH(E985,"Bagor","35.18.14","Sukomoro",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85" s="16" t="s">
        <v>114</v>
      </c>
      <c r="F985" s="33" t="s">
        <v>1793</v>
      </c>
      <c r="G985" s="33" t="s">
        <v>2343</v>
      </c>
      <c r="H985" s="16" t="s">
        <v>31</v>
      </c>
      <c r="I985" s="16">
        <v>5</v>
      </c>
      <c r="J985" s="16">
        <v>0</v>
      </c>
      <c r="K985" s="16">
        <f t="shared" si="17"/>
        <v>5</v>
      </c>
      <c r="L985" s="38">
        <v>30000000</v>
      </c>
      <c r="M985" s="17" t="s">
        <v>2219</v>
      </c>
      <c r="N985" s="67">
        <v>864</v>
      </c>
      <c r="O985" s="16" t="s">
        <v>69</v>
      </c>
      <c r="P985" s="70">
        <v>158000000</v>
      </c>
      <c r="Q985" s="33" t="s">
        <v>50</v>
      </c>
      <c r="R985" s="67">
        <v>100</v>
      </c>
      <c r="S985" s="16" t="s">
        <v>69</v>
      </c>
      <c r="T985" s="67">
        <v>58000000</v>
      </c>
      <c r="U985" s="16" t="s">
        <v>22</v>
      </c>
      <c r="V985" s="16"/>
      <c r="W985" s="16"/>
      <c r="X985" s="16"/>
      <c r="Y985" s="16">
        <v>80</v>
      </c>
      <c r="Z985" s="16">
        <v>20</v>
      </c>
      <c r="AA985" s="16">
        <v>0</v>
      </c>
      <c r="AB985" s="16">
        <v>0</v>
      </c>
      <c r="AC985" s="75" t="s">
        <v>2344</v>
      </c>
      <c r="AD985" s="68"/>
      <c r="AE985" s="23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</row>
    <row r="986" spans="1:84" s="2" customFormat="1" x14ac:dyDescent="0.2">
      <c r="A986" s="17" t="s">
        <v>3921</v>
      </c>
      <c r="B986" s="17" t="s">
        <v>45</v>
      </c>
      <c r="C986" s="17">
        <v>2025</v>
      </c>
      <c r="D986" s="17" t="str">
        <f t="array" ref="D986">_xlfn.SWITCH(E986,"Jatikalen","35.18.20","Kertosono", "35.18.08","Lengkong","35.18.19","Loceret","35.18.04","Tanjunganom","35.18.11","Wilangan","35.18.15")</f>
        <v>35.18.11</v>
      </c>
      <c r="E986" s="16" t="s">
        <v>60</v>
      </c>
      <c r="F986" s="33" t="s">
        <v>2345</v>
      </c>
      <c r="G986" s="33" t="s">
        <v>2346</v>
      </c>
      <c r="H986" s="16" t="s">
        <v>31</v>
      </c>
      <c r="I986" s="16">
        <v>5</v>
      </c>
      <c r="J986" s="16">
        <v>0</v>
      </c>
      <c r="K986" s="16">
        <f t="shared" si="17"/>
        <v>5</v>
      </c>
      <c r="L986" s="38">
        <v>45000000</v>
      </c>
      <c r="M986" s="33" t="s">
        <v>190</v>
      </c>
      <c r="N986" s="33">
        <v>2880</v>
      </c>
      <c r="O986" s="16" t="s">
        <v>422</v>
      </c>
      <c r="P986" s="70">
        <v>72000000</v>
      </c>
      <c r="Q986" s="33" t="s">
        <v>2347</v>
      </c>
      <c r="R986" s="67">
        <v>2880</v>
      </c>
      <c r="S986" s="16" t="s">
        <v>422</v>
      </c>
      <c r="T986" s="67">
        <v>31968000</v>
      </c>
      <c r="U986" s="16" t="s">
        <v>22</v>
      </c>
      <c r="V986" s="16"/>
      <c r="W986" s="16"/>
      <c r="X986" s="16"/>
      <c r="Y986" s="16">
        <v>80</v>
      </c>
      <c r="Z986" s="16">
        <v>20</v>
      </c>
      <c r="AA986" s="16">
        <v>0</v>
      </c>
      <c r="AB986" s="16">
        <v>0</v>
      </c>
      <c r="AC986" s="75" t="s">
        <v>2348</v>
      </c>
      <c r="AD986" s="68"/>
      <c r="AE986" s="23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</row>
    <row r="987" spans="1:84" s="2" customFormat="1" x14ac:dyDescent="0.2">
      <c r="A987" s="17" t="s">
        <v>3921</v>
      </c>
      <c r="B987" s="17" t="s">
        <v>45</v>
      </c>
      <c r="C987" s="17">
        <v>2025</v>
      </c>
      <c r="D987" s="17" t="str">
        <f t="array" ref="D987">_xlfn.SWITCH(E987,"Jatikalen","35.18.20","Kertosono", "35.18.08","Lengkong","35.18.19","Loceret","35.18.04","Tanjunganom","35.18.11","Wilangan","35.18.15")</f>
        <v>35.18.11</v>
      </c>
      <c r="E987" s="16" t="s">
        <v>60</v>
      </c>
      <c r="F987" s="33" t="s">
        <v>1801</v>
      </c>
      <c r="G987" s="33" t="s">
        <v>2349</v>
      </c>
      <c r="H987" s="16" t="s">
        <v>31</v>
      </c>
      <c r="I987" s="16">
        <v>2</v>
      </c>
      <c r="J987" s="16">
        <v>2</v>
      </c>
      <c r="K987" s="16">
        <f t="shared" si="17"/>
        <v>4</v>
      </c>
      <c r="L987" s="38">
        <v>200000000</v>
      </c>
      <c r="M987" s="33" t="s">
        <v>2350</v>
      </c>
      <c r="N987" s="67">
        <v>9600</v>
      </c>
      <c r="O987" s="16" t="s">
        <v>1194</v>
      </c>
      <c r="P987" s="70">
        <v>720000000</v>
      </c>
      <c r="Q987" s="33" t="s">
        <v>1468</v>
      </c>
      <c r="R987" s="67"/>
      <c r="S987" s="16" t="s">
        <v>1672</v>
      </c>
      <c r="T987" s="67">
        <v>240000000</v>
      </c>
      <c r="U987" s="16" t="s">
        <v>22</v>
      </c>
      <c r="V987" s="16"/>
      <c r="W987" s="16"/>
      <c r="X987" s="16"/>
      <c r="Y987" s="16">
        <v>80</v>
      </c>
      <c r="Z987" s="16">
        <v>20</v>
      </c>
      <c r="AA987" s="16">
        <v>0</v>
      </c>
      <c r="AB987" s="16">
        <v>0</v>
      </c>
      <c r="AC987" s="75" t="s">
        <v>2351</v>
      </c>
      <c r="AD987" s="68"/>
      <c r="AE987" s="23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</row>
    <row r="988" spans="1:84" s="2" customFormat="1" x14ac:dyDescent="0.2">
      <c r="A988" s="17" t="s">
        <v>3921</v>
      </c>
      <c r="B988" s="17" t="s">
        <v>45</v>
      </c>
      <c r="C988" s="17">
        <v>2025</v>
      </c>
      <c r="D988" s="17" t="str">
        <f t="array" ref="D988">_xlfn.SWITCH(E988,"Bagor","35.18.14","Sukomoro",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88" s="16" t="s">
        <v>157</v>
      </c>
      <c r="F988" s="33" t="s">
        <v>2352</v>
      </c>
      <c r="G988" s="33" t="s">
        <v>2353</v>
      </c>
      <c r="H988" s="16" t="s">
        <v>31</v>
      </c>
      <c r="I988" s="16">
        <v>5</v>
      </c>
      <c r="J988" s="16">
        <v>0</v>
      </c>
      <c r="K988" s="16">
        <f t="shared" si="17"/>
        <v>5</v>
      </c>
      <c r="L988" s="38">
        <v>50000000</v>
      </c>
      <c r="M988" s="17" t="s">
        <v>1518</v>
      </c>
      <c r="N988" s="33">
        <v>360</v>
      </c>
      <c r="O988" s="16" t="s">
        <v>1263</v>
      </c>
      <c r="P988" s="70">
        <v>720000000</v>
      </c>
      <c r="Q988" s="33" t="s">
        <v>1680</v>
      </c>
      <c r="R988" s="67">
        <v>1440</v>
      </c>
      <c r="S988" s="16" t="s">
        <v>69</v>
      </c>
      <c r="T988" s="67">
        <v>361836000</v>
      </c>
      <c r="U988" s="16" t="s">
        <v>22</v>
      </c>
      <c r="V988" s="16"/>
      <c r="W988" s="16"/>
      <c r="X988" s="16"/>
      <c r="Y988" s="16">
        <v>50</v>
      </c>
      <c r="Z988" s="16">
        <v>30</v>
      </c>
      <c r="AA988" s="16">
        <v>20</v>
      </c>
      <c r="AB988" s="16">
        <v>0</v>
      </c>
      <c r="AC988" s="75" t="s">
        <v>2354</v>
      </c>
      <c r="AD988" s="68"/>
      <c r="AE988" s="23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</row>
    <row r="989" spans="1:84" s="2" customFormat="1" x14ac:dyDescent="0.2">
      <c r="A989" s="17" t="s">
        <v>3921</v>
      </c>
      <c r="B989" s="17" t="s">
        <v>45</v>
      </c>
      <c r="C989" s="17">
        <v>2025</v>
      </c>
      <c r="D989" s="17" t="str">
        <f t="array" ref="D989">_xlfn.SWITCH(E989,"Bagor","35.18.14","Sukomoro",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89" s="16" t="s">
        <v>157</v>
      </c>
      <c r="F989" s="33" t="s">
        <v>2352</v>
      </c>
      <c r="G989" s="33" t="s">
        <v>2355</v>
      </c>
      <c r="H989" s="16" t="s">
        <v>31</v>
      </c>
      <c r="I989" s="16">
        <v>2</v>
      </c>
      <c r="J989" s="16">
        <v>0</v>
      </c>
      <c r="K989" s="16">
        <f t="shared" si="17"/>
        <v>2</v>
      </c>
      <c r="L989" s="38">
        <v>100000000</v>
      </c>
      <c r="M989" s="17" t="s">
        <v>1518</v>
      </c>
      <c r="N989" s="67">
        <v>288</v>
      </c>
      <c r="O989" s="16" t="s">
        <v>1116</v>
      </c>
      <c r="P989" s="70">
        <v>100800000</v>
      </c>
      <c r="Q989" s="33" t="s">
        <v>1680</v>
      </c>
      <c r="R989" s="67">
        <v>57</v>
      </c>
      <c r="S989" s="16" t="s">
        <v>69</v>
      </c>
      <c r="T989" s="67">
        <v>68592000</v>
      </c>
      <c r="U989" s="16" t="s">
        <v>22</v>
      </c>
      <c r="V989" s="16"/>
      <c r="W989" s="16"/>
      <c r="X989" s="16"/>
      <c r="Y989" s="16">
        <v>80</v>
      </c>
      <c r="Z989" s="16">
        <v>20</v>
      </c>
      <c r="AA989" s="16">
        <v>0</v>
      </c>
      <c r="AB989" s="16">
        <v>0</v>
      </c>
      <c r="AC989" s="75" t="s">
        <v>2356</v>
      </c>
      <c r="AD989" s="68"/>
      <c r="AE989" s="23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</row>
    <row r="990" spans="1:84" s="2" customFormat="1" x14ac:dyDescent="0.2">
      <c r="A990" s="17" t="s">
        <v>3921</v>
      </c>
      <c r="B990" s="17" t="s">
        <v>45</v>
      </c>
      <c r="C990" s="17">
        <v>2025</v>
      </c>
      <c r="D990" s="17" t="str">
        <f t="array" ref="D990">_xlfn.SWITCH(E990,"Bagor","35.18.14","Sukomoro",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90" s="16" t="s">
        <v>157</v>
      </c>
      <c r="F990" s="33" t="s">
        <v>2352</v>
      </c>
      <c r="G990" s="33" t="s">
        <v>2357</v>
      </c>
      <c r="H990" s="16" t="s">
        <v>31</v>
      </c>
      <c r="I990" s="16">
        <v>3</v>
      </c>
      <c r="J990" s="16">
        <v>0</v>
      </c>
      <c r="K990" s="16">
        <f t="shared" si="17"/>
        <v>3</v>
      </c>
      <c r="L990" s="38">
        <v>100000000</v>
      </c>
      <c r="M990" s="17" t="s">
        <v>1518</v>
      </c>
      <c r="N990" s="33">
        <v>960</v>
      </c>
      <c r="O990" s="16" t="s">
        <v>1263</v>
      </c>
      <c r="P990" s="70">
        <v>244000000</v>
      </c>
      <c r="Q990" s="33" t="s">
        <v>1680</v>
      </c>
      <c r="R990" s="67">
        <v>864</v>
      </c>
      <c r="S990" s="16" t="s">
        <v>69</v>
      </c>
      <c r="T990" s="67">
        <v>165000000</v>
      </c>
      <c r="U990" s="16" t="s">
        <v>22</v>
      </c>
      <c r="V990" s="16"/>
      <c r="W990" s="16"/>
      <c r="X990" s="16"/>
      <c r="Y990" s="16">
        <v>75</v>
      </c>
      <c r="Z990" s="16">
        <v>25</v>
      </c>
      <c r="AA990" s="16">
        <v>0</v>
      </c>
      <c r="AB990" s="16">
        <v>0</v>
      </c>
      <c r="AC990" s="75" t="s">
        <v>2358</v>
      </c>
      <c r="AD990" s="68"/>
      <c r="AE990" s="23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</row>
    <row r="991" spans="1:84" s="2" customFormat="1" x14ac:dyDescent="0.2">
      <c r="A991" s="17" t="s">
        <v>3921</v>
      </c>
      <c r="B991" s="17" t="s">
        <v>45</v>
      </c>
      <c r="C991" s="17">
        <v>2025</v>
      </c>
      <c r="D991" s="17" t="str">
        <f t="array" ref="D991">_xlfn.SWITCH(E991,"Bagor","35.18.14","Sukomoro",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91" s="16" t="s">
        <v>157</v>
      </c>
      <c r="F991" s="61" t="s">
        <v>2359</v>
      </c>
      <c r="G991" s="61" t="s">
        <v>2360</v>
      </c>
      <c r="H991" s="16" t="s">
        <v>31</v>
      </c>
      <c r="I991" s="16">
        <v>6</v>
      </c>
      <c r="J991" s="16">
        <v>0</v>
      </c>
      <c r="K991" s="16">
        <f t="shared" si="17"/>
        <v>6</v>
      </c>
      <c r="L991" s="76">
        <v>525000000</v>
      </c>
      <c r="M991" s="33" t="s">
        <v>2361</v>
      </c>
      <c r="N991" s="67">
        <v>360000</v>
      </c>
      <c r="O991" s="16" t="s">
        <v>962</v>
      </c>
      <c r="P991" s="70">
        <v>180000000</v>
      </c>
      <c r="Q991" s="33" t="s">
        <v>2362</v>
      </c>
      <c r="R991" s="67">
        <v>432000</v>
      </c>
      <c r="S991" s="16" t="s">
        <v>962</v>
      </c>
      <c r="T991" s="67">
        <v>80000000</v>
      </c>
      <c r="U991" s="16" t="s">
        <v>22</v>
      </c>
      <c r="V991" s="16"/>
      <c r="W991" s="16"/>
      <c r="X991" s="16"/>
      <c r="Y991" s="20">
        <v>55</v>
      </c>
      <c r="Z991" s="20">
        <v>45</v>
      </c>
      <c r="AA991" s="20">
        <v>0</v>
      </c>
      <c r="AB991" s="21">
        <v>0</v>
      </c>
      <c r="AC991" s="77" t="s">
        <v>2363</v>
      </c>
      <c r="AD991" s="68"/>
      <c r="AE991" s="23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</row>
    <row r="992" spans="1:84" s="2" customFormat="1" x14ac:dyDescent="0.2">
      <c r="A992" s="17" t="s">
        <v>3921</v>
      </c>
      <c r="B992" s="17" t="s">
        <v>45</v>
      </c>
      <c r="C992" s="17">
        <v>2025</v>
      </c>
      <c r="D992" s="17" t="str">
        <f t="array" ref="D992">_xlfn.SWITCH(E992,"Bagor","35.18.14","Sukomoro",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992" s="16" t="s">
        <v>162</v>
      </c>
      <c r="F992" s="33" t="s">
        <v>2364</v>
      </c>
      <c r="G992" s="33" t="s">
        <v>2365</v>
      </c>
      <c r="H992" s="16" t="s">
        <v>31</v>
      </c>
      <c r="I992" s="16">
        <v>4</v>
      </c>
      <c r="J992" s="16">
        <v>0</v>
      </c>
      <c r="K992" s="16">
        <f t="shared" si="17"/>
        <v>4</v>
      </c>
      <c r="L992" s="38">
        <v>20000000</v>
      </c>
      <c r="M992" s="61" t="s">
        <v>2366</v>
      </c>
      <c r="N992" s="61">
        <v>7200</v>
      </c>
      <c r="O992" s="55" t="s">
        <v>1263</v>
      </c>
      <c r="P992" s="70">
        <v>560000000</v>
      </c>
      <c r="Q992" s="33" t="s">
        <v>2367</v>
      </c>
      <c r="R992" s="67">
        <v>8640</v>
      </c>
      <c r="S992" s="16" t="s">
        <v>1130</v>
      </c>
      <c r="T992" s="67">
        <v>298620000</v>
      </c>
      <c r="U992" s="16" t="s">
        <v>22</v>
      </c>
      <c r="V992" s="16"/>
      <c r="W992" s="16"/>
      <c r="X992" s="16"/>
      <c r="Y992" s="20">
        <v>60</v>
      </c>
      <c r="Z992" s="20">
        <v>40</v>
      </c>
      <c r="AA992" s="20">
        <v>0</v>
      </c>
      <c r="AB992" s="21">
        <v>0</v>
      </c>
      <c r="AC992" s="16" t="s">
        <v>2368</v>
      </c>
      <c r="AD992" s="68"/>
      <c r="AE992" s="23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</row>
    <row r="993" spans="1:84" s="2" customFormat="1" x14ac:dyDescent="0.2">
      <c r="A993" s="17" t="s">
        <v>3921</v>
      </c>
      <c r="B993" s="17" t="s">
        <v>45</v>
      </c>
      <c r="C993" s="17">
        <v>2025</v>
      </c>
      <c r="D993" s="17" t="str">
        <f t="array" ref="D993">_xlfn.SWITCH(E993,"Jatikalen","35.18.20","Kertosono", "35.18.08","Lengkong","35.18.19","Loceret","35.18.04","Tanjunganom","35.18.11","Wilangan","35.18.15")</f>
        <v>35.18.11</v>
      </c>
      <c r="E993" s="16" t="s">
        <v>60</v>
      </c>
      <c r="F993" s="33" t="s">
        <v>2369</v>
      </c>
      <c r="G993" s="33" t="s">
        <v>2370</v>
      </c>
      <c r="H993" s="16" t="s">
        <v>31</v>
      </c>
      <c r="I993" s="16">
        <v>4</v>
      </c>
      <c r="J993" s="16">
        <v>0</v>
      </c>
      <c r="K993" s="16">
        <f t="shared" si="17"/>
        <v>4</v>
      </c>
      <c r="L993" s="38">
        <v>200000000</v>
      </c>
      <c r="M993" s="17" t="s">
        <v>1518</v>
      </c>
      <c r="N993" s="33">
        <v>950</v>
      </c>
      <c r="O993" s="16" t="s">
        <v>1263</v>
      </c>
      <c r="P993" s="70">
        <v>244000000</v>
      </c>
      <c r="Q993" s="33" t="s">
        <v>1680</v>
      </c>
      <c r="R993" s="67">
        <v>864</v>
      </c>
      <c r="S993" s="16" t="s">
        <v>69</v>
      </c>
      <c r="T993" s="67">
        <v>165672000</v>
      </c>
      <c r="U993" s="16" t="s">
        <v>22</v>
      </c>
      <c r="V993" s="16"/>
      <c r="W993" s="16"/>
      <c r="X993" s="16"/>
      <c r="Y993" s="20">
        <v>50</v>
      </c>
      <c r="Z993" s="20">
        <v>30</v>
      </c>
      <c r="AA993" s="20">
        <v>20</v>
      </c>
      <c r="AB993" s="21">
        <v>0</v>
      </c>
      <c r="AC993" s="75"/>
      <c r="AD993" s="68"/>
      <c r="AE993" s="23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</row>
    <row r="994" spans="1:84" s="2" customFormat="1" x14ac:dyDescent="0.2">
      <c r="A994" s="17" t="s">
        <v>3921</v>
      </c>
      <c r="B994" s="17" t="s">
        <v>45</v>
      </c>
      <c r="C994" s="17">
        <v>2025</v>
      </c>
      <c r="D994" s="17" t="str">
        <f t="array" ref="D994">_xlfn.SWITCH(E994,"Jatikalen","35.18.20","Kertosono", "35.18.08","Lengkong","35.18.19","Loceret","35.18.04","Tanjunganom","35.18.11","Wilangan","35.18.15")</f>
        <v>35.18.19</v>
      </c>
      <c r="E994" s="16" t="s">
        <v>64</v>
      </c>
      <c r="F994" s="33" t="s">
        <v>2371</v>
      </c>
      <c r="G994" s="33" t="s">
        <v>2372</v>
      </c>
      <c r="H994" s="16" t="s">
        <v>31</v>
      </c>
      <c r="I994" s="16">
        <v>4</v>
      </c>
      <c r="J994" s="16">
        <v>0</v>
      </c>
      <c r="K994" s="16">
        <f t="shared" si="17"/>
        <v>4</v>
      </c>
      <c r="L994" s="38">
        <v>10000000</v>
      </c>
      <c r="M994" s="33" t="s">
        <v>2037</v>
      </c>
      <c r="N994" s="33">
        <v>4320</v>
      </c>
      <c r="O994" s="16" t="s">
        <v>1130</v>
      </c>
      <c r="P994" s="70">
        <v>373200000</v>
      </c>
      <c r="Q994" s="33" t="s">
        <v>2151</v>
      </c>
      <c r="R994" s="78">
        <v>3500</v>
      </c>
      <c r="S994" s="16" t="s">
        <v>422</v>
      </c>
      <c r="T994" s="67">
        <v>22752000</v>
      </c>
      <c r="U994" s="16" t="s">
        <v>22</v>
      </c>
      <c r="V994" s="16"/>
      <c r="W994" s="16"/>
      <c r="X994" s="16"/>
      <c r="Y994" s="20">
        <v>75</v>
      </c>
      <c r="Z994" s="20">
        <v>25</v>
      </c>
      <c r="AA994" s="20">
        <v>0</v>
      </c>
      <c r="AB994" s="21">
        <v>0</v>
      </c>
      <c r="AC994" s="75"/>
      <c r="AD994" s="68"/>
      <c r="AE994" s="23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</row>
    <row r="995" spans="1:84" s="2" customFormat="1" x14ac:dyDescent="0.2">
      <c r="A995" s="17" t="s">
        <v>3921</v>
      </c>
      <c r="B995" s="17" t="s">
        <v>45</v>
      </c>
      <c r="C995" s="17">
        <v>2025</v>
      </c>
      <c r="D995" s="17" t="str">
        <f t="array" ref="D995">_xlfn.SWITCH(E995,"Jatikalen","35.18.20","Kertosono", "35.18.08","Lengkong","35.18.19","Loceret","35.18.04","Tanjunganom","35.18.11","Wilangan","35.18.15")</f>
        <v>35.18.19</v>
      </c>
      <c r="E995" s="16" t="s">
        <v>64</v>
      </c>
      <c r="F995" s="33" t="s">
        <v>2371</v>
      </c>
      <c r="G995" s="33" t="s">
        <v>2373</v>
      </c>
      <c r="H995" s="16" t="s">
        <v>31</v>
      </c>
      <c r="I995" s="16">
        <v>3</v>
      </c>
      <c r="J995" s="16">
        <v>0</v>
      </c>
      <c r="K995" s="16">
        <f t="shared" si="17"/>
        <v>3</v>
      </c>
      <c r="L995" s="38">
        <v>10000000</v>
      </c>
      <c r="M995" s="33" t="s">
        <v>2037</v>
      </c>
      <c r="N995" s="33">
        <v>2400</v>
      </c>
      <c r="O995" s="16" t="s">
        <v>1130</v>
      </c>
      <c r="P995" s="70">
        <v>115200000</v>
      </c>
      <c r="Q995" s="33" t="s">
        <v>2151</v>
      </c>
      <c r="R995" s="78">
        <v>726</v>
      </c>
      <c r="S995" s="16" t="s">
        <v>422</v>
      </c>
      <c r="T995" s="67">
        <v>47232000</v>
      </c>
      <c r="U995" s="16" t="s">
        <v>22</v>
      </c>
      <c r="V995" s="16"/>
      <c r="W995" s="16"/>
      <c r="X995" s="16"/>
      <c r="Y995" s="16">
        <v>60</v>
      </c>
      <c r="Z995" s="16">
        <v>40</v>
      </c>
      <c r="AA995" s="16">
        <v>0</v>
      </c>
      <c r="AB995" s="16">
        <v>0</v>
      </c>
      <c r="AC995" s="75"/>
      <c r="AD995" s="68"/>
      <c r="AE995" s="23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</row>
    <row r="996" spans="1:84" s="2" customFormat="1" x14ac:dyDescent="0.2">
      <c r="A996" s="17" t="s">
        <v>3921</v>
      </c>
      <c r="B996" s="17" t="s">
        <v>45</v>
      </c>
      <c r="C996" s="17">
        <v>2025</v>
      </c>
      <c r="D996" s="17" t="str">
        <f t="array" ref="D996">_xlfn.SWITCH(E996,"Jatikalen","35.18.20","Kertosono", "35.18.08","Lengkong","35.18.19","Loceret","35.18.04","Tanjunganom","35.18.11","Wilangan","35.18.15")</f>
        <v>35.18.19</v>
      </c>
      <c r="E996" s="16" t="s">
        <v>64</v>
      </c>
      <c r="F996" s="33" t="s">
        <v>2371</v>
      </c>
      <c r="G996" s="33" t="s">
        <v>2374</v>
      </c>
      <c r="H996" s="16" t="s">
        <v>31</v>
      </c>
      <c r="I996" s="16">
        <v>3</v>
      </c>
      <c r="J996" s="16">
        <v>0</v>
      </c>
      <c r="K996" s="16">
        <f t="shared" si="17"/>
        <v>3</v>
      </c>
      <c r="L996" s="38">
        <v>10000000</v>
      </c>
      <c r="M996" s="33" t="s">
        <v>2037</v>
      </c>
      <c r="N996" s="33">
        <v>4320</v>
      </c>
      <c r="O996" s="16" t="s">
        <v>1130</v>
      </c>
      <c r="P996" s="70">
        <v>96000000</v>
      </c>
      <c r="Q996" s="33" t="s">
        <v>2151</v>
      </c>
      <c r="R996" s="78">
        <v>3421</v>
      </c>
      <c r="S996" s="16" t="s">
        <v>422</v>
      </c>
      <c r="T996" s="67">
        <v>22240000</v>
      </c>
      <c r="U996" s="16" t="s">
        <v>22</v>
      </c>
      <c r="V996" s="16"/>
      <c r="W996" s="16"/>
      <c r="X996" s="16"/>
      <c r="Y996" s="16">
        <v>100</v>
      </c>
      <c r="Z996" s="16">
        <v>0</v>
      </c>
      <c r="AA996" s="16">
        <v>0</v>
      </c>
      <c r="AB996" s="16">
        <v>0</v>
      </c>
      <c r="AC996" s="75"/>
      <c r="AD996" s="68"/>
      <c r="AE996" s="23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</row>
    <row r="997" spans="1:84" s="2" customFormat="1" x14ac:dyDescent="0.2">
      <c r="A997" s="17" t="s">
        <v>3921</v>
      </c>
      <c r="B997" s="17" t="s">
        <v>45</v>
      </c>
      <c r="C997" s="17">
        <v>2025</v>
      </c>
      <c r="D997" s="17" t="str">
        <f t="array" ref="D997">_xlfn.SWITCH(E997,"Jatikalen","35.18.20","Kertosono", "35.18.08","Lengkong","35.18.19","Loceret","35.18.04","Tanjunganom","35.18.11","Wilangan","35.18.15")</f>
        <v>35.18.19</v>
      </c>
      <c r="E997" s="16" t="s">
        <v>64</v>
      </c>
      <c r="F997" s="33" t="s">
        <v>2371</v>
      </c>
      <c r="G997" s="33" t="s">
        <v>2375</v>
      </c>
      <c r="H997" s="16" t="s">
        <v>31</v>
      </c>
      <c r="I997" s="16">
        <v>4</v>
      </c>
      <c r="J997" s="16">
        <v>0</v>
      </c>
      <c r="K997" s="16">
        <f t="shared" si="17"/>
        <v>4</v>
      </c>
      <c r="L997" s="38">
        <v>15000000</v>
      </c>
      <c r="M997" s="33" t="s">
        <v>2037</v>
      </c>
      <c r="N997" s="33">
        <v>4320</v>
      </c>
      <c r="O997" s="16" t="s">
        <v>1130</v>
      </c>
      <c r="P997" s="70">
        <v>374400000</v>
      </c>
      <c r="Q997" s="33" t="s">
        <v>2151</v>
      </c>
      <c r="R997" s="78">
        <v>3500</v>
      </c>
      <c r="S997" s="16" t="s">
        <v>422</v>
      </c>
      <c r="T997" s="67">
        <v>22752000</v>
      </c>
      <c r="U997" s="16" t="s">
        <v>22</v>
      </c>
      <c r="V997" s="16"/>
      <c r="W997" s="16"/>
      <c r="X997" s="16"/>
      <c r="Y997" s="16">
        <v>100</v>
      </c>
      <c r="Z997" s="16">
        <v>0</v>
      </c>
      <c r="AA997" s="16">
        <v>0</v>
      </c>
      <c r="AB997" s="16">
        <v>0</v>
      </c>
      <c r="AC997" s="75"/>
      <c r="AD997" s="68"/>
      <c r="AE997" s="23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</row>
    <row r="998" spans="1:84" s="2" customFormat="1" x14ac:dyDescent="0.2">
      <c r="A998" s="17" t="s">
        <v>3921</v>
      </c>
      <c r="B998" s="17" t="s">
        <v>45</v>
      </c>
      <c r="C998" s="17">
        <v>2025</v>
      </c>
      <c r="D998" s="17" t="str">
        <f t="array" ref="D998">_xlfn.SWITCH(E998,"Jatikalen","35.18.20","Kertosono", "35.18.08","Lengkong","35.18.19","Loceret","35.18.04","Tanjunganom","35.18.11","Wilangan","35.18.15")</f>
        <v>35.18.19</v>
      </c>
      <c r="E998" s="16" t="s">
        <v>64</v>
      </c>
      <c r="F998" s="33" t="s">
        <v>2371</v>
      </c>
      <c r="G998" s="33" t="s">
        <v>2376</v>
      </c>
      <c r="H998" s="16" t="s">
        <v>31</v>
      </c>
      <c r="I998" s="16">
        <v>2</v>
      </c>
      <c r="J998" s="16">
        <v>1</v>
      </c>
      <c r="K998" s="16">
        <f t="shared" si="17"/>
        <v>3</v>
      </c>
      <c r="L998" s="38">
        <v>10000000</v>
      </c>
      <c r="M998" s="33" t="s">
        <v>2037</v>
      </c>
      <c r="N998" s="33">
        <v>1440</v>
      </c>
      <c r="O998" s="16" t="s">
        <v>1130</v>
      </c>
      <c r="P998" s="70">
        <v>61056000</v>
      </c>
      <c r="Q998" s="33" t="s">
        <v>2151</v>
      </c>
      <c r="R998" s="78">
        <v>6180</v>
      </c>
      <c r="S998" s="16" t="s">
        <v>422</v>
      </c>
      <c r="T998" s="67">
        <v>15000000</v>
      </c>
      <c r="U998" s="16" t="s">
        <v>22</v>
      </c>
      <c r="V998" s="16"/>
      <c r="W998" s="16"/>
      <c r="X998" s="16"/>
      <c r="Y998" s="16">
        <v>75</v>
      </c>
      <c r="Z998" s="16">
        <v>25</v>
      </c>
      <c r="AA998" s="16">
        <v>0</v>
      </c>
      <c r="AB998" s="16">
        <v>0</v>
      </c>
      <c r="AC998" s="75"/>
      <c r="AD998" s="68"/>
      <c r="AE998" s="23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</row>
    <row r="999" spans="1:84" s="2" customFormat="1" x14ac:dyDescent="0.2">
      <c r="A999" s="17" t="s">
        <v>3921</v>
      </c>
      <c r="B999" s="17" t="s">
        <v>45</v>
      </c>
      <c r="C999" s="17">
        <v>2025</v>
      </c>
      <c r="D999" s="17" t="str">
        <f t="array" ref="D999">_xlfn.SWITCH(E999,"Jatikalen","35.18.20","Kertosono", "35.18.08","Lengkong","35.18.19","Loceret","35.18.04","Tanjunganom","35.18.11","Wilangan","35.18.15")</f>
        <v>35.18.08</v>
      </c>
      <c r="E999" s="16" t="s">
        <v>128</v>
      </c>
      <c r="F999" s="33" t="s">
        <v>2377</v>
      </c>
      <c r="G999" s="33" t="s">
        <v>2378</v>
      </c>
      <c r="H999" s="16" t="s">
        <v>31</v>
      </c>
      <c r="I999" s="16">
        <v>1</v>
      </c>
      <c r="J999" s="16">
        <v>1</v>
      </c>
      <c r="K999" s="16">
        <f t="shared" si="17"/>
        <v>2</v>
      </c>
      <c r="L999" s="38">
        <v>5000000</v>
      </c>
      <c r="M999" s="33" t="s">
        <v>1120</v>
      </c>
      <c r="N999" s="67">
        <v>8400</v>
      </c>
      <c r="O999" s="16" t="s">
        <v>422</v>
      </c>
      <c r="P999" s="70">
        <v>94080000</v>
      </c>
      <c r="Q999" s="33" t="s">
        <v>1642</v>
      </c>
      <c r="R999" s="67">
        <v>8400</v>
      </c>
      <c r="S999" s="16" t="s">
        <v>422</v>
      </c>
      <c r="T999" s="67">
        <v>64680000</v>
      </c>
      <c r="U999" s="16" t="s">
        <v>22</v>
      </c>
      <c r="V999" s="16"/>
      <c r="W999" s="16"/>
      <c r="X999" s="16"/>
      <c r="Y999" s="16">
        <v>100</v>
      </c>
      <c r="Z999" s="16">
        <v>0</v>
      </c>
      <c r="AA999" s="16">
        <v>0</v>
      </c>
      <c r="AB999" s="16">
        <v>0</v>
      </c>
      <c r="AC999" s="75"/>
      <c r="AD999" s="68"/>
      <c r="AE999" s="23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</row>
    <row r="1000" spans="1:84" s="2" customFormat="1" x14ac:dyDescent="0.2">
      <c r="A1000" s="17" t="s">
        <v>3921</v>
      </c>
      <c r="B1000" s="17" t="s">
        <v>45</v>
      </c>
      <c r="C1000" s="17">
        <v>2025</v>
      </c>
      <c r="D1000" s="17" t="str">
        <f t="array" ref="D1000">_xlfn.SWITCH(E1000,"Jatikalen","35.18.20","Kertosono", "35.18.08","Lengkong","35.18.19","Loceret","35.18.04","Tanjunganom","35.18.11","Wilangan","35.18.15")</f>
        <v>35.18.08</v>
      </c>
      <c r="E1000" s="16" t="s">
        <v>128</v>
      </c>
      <c r="F1000" s="33" t="s">
        <v>2377</v>
      </c>
      <c r="G1000" s="33" t="s">
        <v>2379</v>
      </c>
      <c r="H1000" s="16" t="s">
        <v>31</v>
      </c>
      <c r="I1000" s="16">
        <v>1</v>
      </c>
      <c r="J1000" s="16">
        <v>1</v>
      </c>
      <c r="K1000" s="16">
        <f t="shared" si="17"/>
        <v>2</v>
      </c>
      <c r="L1000" s="38">
        <v>5000000</v>
      </c>
      <c r="M1000" s="33" t="s">
        <v>1120</v>
      </c>
      <c r="N1000" s="67">
        <v>23520</v>
      </c>
      <c r="O1000" s="16" t="s">
        <v>422</v>
      </c>
      <c r="P1000" s="70">
        <v>228480000</v>
      </c>
      <c r="Q1000" s="33" t="s">
        <v>1642</v>
      </c>
      <c r="R1000" s="67">
        <v>23520</v>
      </c>
      <c r="S1000" s="16" t="s">
        <v>422</v>
      </c>
      <c r="T1000" s="67">
        <v>181104000</v>
      </c>
      <c r="U1000" s="16" t="s">
        <v>22</v>
      </c>
      <c r="V1000" s="16"/>
      <c r="W1000" s="16"/>
      <c r="X1000" s="16"/>
      <c r="Y1000" s="16">
        <v>60</v>
      </c>
      <c r="Z1000" s="16">
        <v>40</v>
      </c>
      <c r="AA1000" s="16">
        <v>0</v>
      </c>
      <c r="AB1000" s="16">
        <v>0</v>
      </c>
      <c r="AC1000" s="75"/>
      <c r="AD1000" s="68"/>
      <c r="AE1000" s="23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</row>
    <row r="1001" spans="1:84" s="2" customFormat="1" x14ac:dyDescent="0.2">
      <c r="A1001" s="17" t="s">
        <v>3921</v>
      </c>
      <c r="B1001" s="17" t="s">
        <v>45</v>
      </c>
      <c r="C1001" s="17">
        <v>2025</v>
      </c>
      <c r="D1001" s="17" t="str">
        <f t="array" ref="D1001">_xlfn.SWITCH(E1001,"Jatikalen","35.18.20","Kertosono", "35.18.08","Lengkong","35.18.19","Loceret","35.18.04","Tanjunganom","35.18.11","Wilangan","35.18.15")</f>
        <v>35.18.08</v>
      </c>
      <c r="E1001" s="16" t="s">
        <v>128</v>
      </c>
      <c r="F1001" s="33" t="s">
        <v>2377</v>
      </c>
      <c r="G1001" s="33" t="s">
        <v>2380</v>
      </c>
      <c r="H1001" s="16" t="s">
        <v>31</v>
      </c>
      <c r="I1001" s="16">
        <v>4</v>
      </c>
      <c r="J1001" s="16">
        <v>1</v>
      </c>
      <c r="K1001" s="16">
        <f t="shared" si="17"/>
        <v>5</v>
      </c>
      <c r="L1001" s="38">
        <v>8000000</v>
      </c>
      <c r="M1001" s="33" t="s">
        <v>1120</v>
      </c>
      <c r="N1001" s="67">
        <v>33600</v>
      </c>
      <c r="O1001" s="16" t="s">
        <v>422</v>
      </c>
      <c r="P1001" s="70">
        <v>403200000</v>
      </c>
      <c r="Q1001" s="33" t="s">
        <v>1642</v>
      </c>
      <c r="R1001" s="67">
        <v>33600</v>
      </c>
      <c r="S1001" s="16" t="s">
        <v>422</v>
      </c>
      <c r="T1001" s="67">
        <v>249312000</v>
      </c>
      <c r="U1001" s="16" t="s">
        <v>22</v>
      </c>
      <c r="V1001" s="16"/>
      <c r="W1001" s="16"/>
      <c r="X1001" s="16"/>
      <c r="Y1001" s="16">
        <v>90</v>
      </c>
      <c r="Z1001" s="16">
        <v>10</v>
      </c>
      <c r="AA1001" s="16">
        <v>0</v>
      </c>
      <c r="AB1001" s="16">
        <v>0</v>
      </c>
      <c r="AC1001" s="75"/>
      <c r="AD1001" s="68"/>
      <c r="AE1001" s="23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</row>
    <row r="1002" spans="1:84" s="2" customFormat="1" x14ac:dyDescent="0.2">
      <c r="A1002" s="17" t="s">
        <v>3921</v>
      </c>
      <c r="B1002" s="17" t="s">
        <v>45</v>
      </c>
      <c r="C1002" s="17">
        <v>2025</v>
      </c>
      <c r="D1002" s="17" t="str">
        <f t="array" ref="D1002">_xlfn.SWITCH(E1002,"Jatikalen","35.18.20","Kertosono", "35.18.08","Lengkong","35.18.19","Loceret","35.18.04","Tanjunganom","35.18.11","Wilangan","35.18.15")</f>
        <v>35.18.08</v>
      </c>
      <c r="E1002" s="16" t="s">
        <v>128</v>
      </c>
      <c r="F1002" s="33" t="s">
        <v>2377</v>
      </c>
      <c r="G1002" s="33" t="s">
        <v>2381</v>
      </c>
      <c r="H1002" s="16" t="s">
        <v>31</v>
      </c>
      <c r="I1002" s="16">
        <v>1</v>
      </c>
      <c r="J1002" s="16">
        <v>1</v>
      </c>
      <c r="K1002" s="16">
        <f t="shared" si="17"/>
        <v>2</v>
      </c>
      <c r="L1002" s="38">
        <v>2000000</v>
      </c>
      <c r="M1002" s="33" t="s">
        <v>1120</v>
      </c>
      <c r="N1002" s="67">
        <v>11760</v>
      </c>
      <c r="O1002" s="16" t="s">
        <v>422</v>
      </c>
      <c r="P1002" s="70">
        <v>141120000</v>
      </c>
      <c r="Q1002" s="33" t="s">
        <v>1642</v>
      </c>
      <c r="R1002" s="67">
        <v>11760</v>
      </c>
      <c r="S1002" s="16" t="s">
        <v>422</v>
      </c>
      <c r="T1002" s="67">
        <v>90552000</v>
      </c>
      <c r="U1002" s="16" t="s">
        <v>22</v>
      </c>
      <c r="V1002" s="16"/>
      <c r="W1002" s="16"/>
      <c r="X1002" s="16"/>
      <c r="Y1002" s="16">
        <v>65</v>
      </c>
      <c r="Z1002" s="16">
        <v>35</v>
      </c>
      <c r="AA1002" s="16">
        <v>0</v>
      </c>
      <c r="AB1002" s="16">
        <v>0</v>
      </c>
      <c r="AC1002" s="75"/>
      <c r="AD1002" s="68"/>
      <c r="AE1002" s="23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</row>
    <row r="1003" spans="1:84" s="2" customFormat="1" x14ac:dyDescent="0.2">
      <c r="A1003" s="17" t="s">
        <v>3921</v>
      </c>
      <c r="B1003" s="17" t="s">
        <v>45</v>
      </c>
      <c r="C1003" s="17">
        <v>2025</v>
      </c>
      <c r="D1003" s="17" t="str">
        <f t="array" ref="D1003">_xlfn.SWITCH(E1003,"Jatikalen","35.18.20","Kertosono", "35.18.08","Lengkong","35.18.19","Loceret","35.18.04","Tanjunganom","35.18.11","Wilangan","35.18.15")</f>
        <v>35.18.08</v>
      </c>
      <c r="E1003" s="16" t="s">
        <v>128</v>
      </c>
      <c r="F1003" s="33" t="s">
        <v>2377</v>
      </c>
      <c r="G1003" s="33" t="s">
        <v>2382</v>
      </c>
      <c r="H1003" s="16" t="s">
        <v>31</v>
      </c>
      <c r="I1003" s="16">
        <v>1</v>
      </c>
      <c r="J1003" s="16">
        <v>0</v>
      </c>
      <c r="K1003" s="16">
        <f t="shared" si="17"/>
        <v>1</v>
      </c>
      <c r="L1003" s="38">
        <v>4000000</v>
      </c>
      <c r="M1003" s="33" t="s">
        <v>1120</v>
      </c>
      <c r="N1003" s="67">
        <v>5040</v>
      </c>
      <c r="O1003" s="16" t="s">
        <v>422</v>
      </c>
      <c r="P1003" s="70">
        <v>60480000</v>
      </c>
      <c r="Q1003" s="33" t="s">
        <v>1642</v>
      </c>
      <c r="R1003" s="67">
        <v>5040</v>
      </c>
      <c r="S1003" s="16" t="s">
        <v>422</v>
      </c>
      <c r="T1003" s="67">
        <v>36808000</v>
      </c>
      <c r="U1003" s="16" t="s">
        <v>22</v>
      </c>
      <c r="V1003" s="16"/>
      <c r="W1003" s="16"/>
      <c r="X1003" s="16"/>
      <c r="Y1003" s="16">
        <v>70</v>
      </c>
      <c r="Z1003" s="16">
        <v>30</v>
      </c>
      <c r="AA1003" s="16">
        <v>0</v>
      </c>
      <c r="AB1003" s="16">
        <v>0</v>
      </c>
      <c r="AC1003" s="75"/>
      <c r="AD1003" s="68"/>
      <c r="AE1003" s="23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</row>
    <row r="1004" spans="1:84" s="2" customFormat="1" x14ac:dyDescent="0.2">
      <c r="A1004" s="17" t="s">
        <v>3921</v>
      </c>
      <c r="B1004" s="17" t="s">
        <v>45</v>
      </c>
      <c r="C1004" s="17">
        <v>2025</v>
      </c>
      <c r="D1004" s="17" t="str">
        <f t="array" ref="D1004">_xlfn.SWITCH(E1004,"Jatikalen","35.18.20","Kertosono", "35.18.08","Lengkong","35.18.19","Loceret","35.18.04","Tanjunganom","35.18.11","Wilangan","35.18.15")</f>
        <v>35.18.08</v>
      </c>
      <c r="E1004" s="16" t="s">
        <v>128</v>
      </c>
      <c r="F1004" s="33" t="s">
        <v>2377</v>
      </c>
      <c r="G1004" s="33" t="s">
        <v>2383</v>
      </c>
      <c r="H1004" s="16" t="s">
        <v>31</v>
      </c>
      <c r="I1004" s="16">
        <v>1</v>
      </c>
      <c r="J1004" s="16">
        <v>1</v>
      </c>
      <c r="K1004" s="16">
        <f t="shared" si="17"/>
        <v>2</v>
      </c>
      <c r="L1004" s="38">
        <v>1500000</v>
      </c>
      <c r="M1004" s="33" t="s">
        <v>1120</v>
      </c>
      <c r="N1004" s="67">
        <v>10080</v>
      </c>
      <c r="O1004" s="16" t="s">
        <v>422</v>
      </c>
      <c r="P1004" s="70">
        <v>120960000</v>
      </c>
      <c r="Q1004" s="33" t="s">
        <v>1642</v>
      </c>
      <c r="R1004" s="67">
        <v>10080</v>
      </c>
      <c r="S1004" s="16" t="s">
        <v>422</v>
      </c>
      <c r="T1004" s="67">
        <v>77616000</v>
      </c>
      <c r="U1004" s="16" t="s">
        <v>22</v>
      </c>
      <c r="V1004" s="16"/>
      <c r="W1004" s="16"/>
      <c r="X1004" s="16"/>
      <c r="Y1004" s="16">
        <v>90</v>
      </c>
      <c r="Z1004" s="16">
        <v>10</v>
      </c>
      <c r="AA1004" s="16">
        <v>0</v>
      </c>
      <c r="AB1004" s="16">
        <v>0</v>
      </c>
      <c r="AC1004" s="75"/>
      <c r="AD1004" s="68"/>
      <c r="AE1004" s="23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</row>
    <row r="1005" spans="1:84" s="2" customFormat="1" x14ac:dyDescent="0.2">
      <c r="A1005" s="17" t="s">
        <v>3921</v>
      </c>
      <c r="B1005" s="17" t="s">
        <v>45</v>
      </c>
      <c r="C1005" s="17">
        <v>2025</v>
      </c>
      <c r="D1005" s="17" t="str">
        <f t="array" ref="D1005">_xlfn.SWITCH(E1005,"Jatikalen","35.18.20","Kertosono", "35.18.08","Lengkong","35.18.19","Loceret","35.18.04","Tanjunganom","35.18.11","Wilangan","35.18.15")</f>
        <v>35.18.08</v>
      </c>
      <c r="E1005" s="16" t="s">
        <v>128</v>
      </c>
      <c r="F1005" s="33" t="s">
        <v>2377</v>
      </c>
      <c r="G1005" s="33" t="s">
        <v>2384</v>
      </c>
      <c r="H1005" s="16" t="s">
        <v>31</v>
      </c>
      <c r="I1005" s="16">
        <v>1</v>
      </c>
      <c r="J1005" s="16">
        <v>1</v>
      </c>
      <c r="K1005" s="16">
        <f t="shared" si="17"/>
        <v>2</v>
      </c>
      <c r="L1005" s="38">
        <v>1500000</v>
      </c>
      <c r="M1005" s="33" t="s">
        <v>1120</v>
      </c>
      <c r="N1005" s="67">
        <v>16800</v>
      </c>
      <c r="O1005" s="16" t="s">
        <v>422</v>
      </c>
      <c r="P1005" s="70">
        <v>201600000</v>
      </c>
      <c r="Q1005" s="33" t="s">
        <v>1642</v>
      </c>
      <c r="R1005" s="67">
        <v>16800</v>
      </c>
      <c r="S1005" s="16" t="s">
        <v>422</v>
      </c>
      <c r="T1005" s="67">
        <v>129360000</v>
      </c>
      <c r="U1005" s="16" t="s">
        <v>22</v>
      </c>
      <c r="V1005" s="16"/>
      <c r="W1005" s="16"/>
      <c r="X1005" s="16"/>
      <c r="Y1005" s="16">
        <v>80</v>
      </c>
      <c r="Z1005" s="16">
        <v>20</v>
      </c>
      <c r="AA1005" s="16">
        <v>0</v>
      </c>
      <c r="AB1005" s="16">
        <v>0</v>
      </c>
      <c r="AC1005" s="75"/>
      <c r="AD1005" s="68"/>
      <c r="AE1005" s="23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</row>
    <row r="1006" spans="1:84" s="2" customFormat="1" x14ac:dyDescent="0.2">
      <c r="A1006" s="17" t="s">
        <v>3921</v>
      </c>
      <c r="B1006" s="17" t="s">
        <v>45</v>
      </c>
      <c r="C1006" s="17">
        <v>2025</v>
      </c>
      <c r="D1006" s="17" t="str">
        <f t="array" ref="D1006">_xlfn.SWITCH(E1006,"Jatikalen","35.18.20","Kertosono", "35.18.08","Lengkong","35.18.19","Loceret","35.18.04","Tanjunganom","35.18.11","Wilangan","35.18.15")</f>
        <v>35.18.08</v>
      </c>
      <c r="E1006" s="16" t="s">
        <v>128</v>
      </c>
      <c r="F1006" s="33" t="s">
        <v>2377</v>
      </c>
      <c r="G1006" s="33" t="s">
        <v>2385</v>
      </c>
      <c r="H1006" s="16" t="s">
        <v>31</v>
      </c>
      <c r="I1006" s="16">
        <v>1</v>
      </c>
      <c r="J1006" s="16">
        <v>1</v>
      </c>
      <c r="K1006" s="16">
        <f t="shared" si="17"/>
        <v>2</v>
      </c>
      <c r="L1006" s="38">
        <v>5000000</v>
      </c>
      <c r="M1006" s="33" t="s">
        <v>1120</v>
      </c>
      <c r="N1006" s="67">
        <v>16800</v>
      </c>
      <c r="O1006" s="16" t="s">
        <v>422</v>
      </c>
      <c r="P1006" s="70">
        <v>201600000</v>
      </c>
      <c r="Q1006" s="33" t="s">
        <v>1642</v>
      </c>
      <c r="R1006" s="67">
        <v>16800</v>
      </c>
      <c r="S1006" s="16" t="s">
        <v>422</v>
      </c>
      <c r="T1006" s="67">
        <v>129360000</v>
      </c>
      <c r="U1006" s="16" t="s">
        <v>22</v>
      </c>
      <c r="V1006" s="16"/>
      <c r="W1006" s="16"/>
      <c r="X1006" s="16"/>
      <c r="Y1006" s="16">
        <v>75</v>
      </c>
      <c r="Z1006" s="16">
        <v>25</v>
      </c>
      <c r="AA1006" s="16">
        <v>0</v>
      </c>
      <c r="AB1006" s="16">
        <v>0</v>
      </c>
      <c r="AC1006" s="75"/>
      <c r="AD1006" s="68"/>
      <c r="AE1006" s="23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</row>
    <row r="1007" spans="1:84" s="2" customFormat="1" x14ac:dyDescent="0.2">
      <c r="A1007" s="17" t="s">
        <v>3921</v>
      </c>
      <c r="B1007" s="17" t="s">
        <v>45</v>
      </c>
      <c r="C1007" s="17">
        <v>2025</v>
      </c>
      <c r="D1007" s="17" t="str">
        <f t="array" ref="D1007">_xlfn.SWITCH(E1007,"Jatikalen","35.18.20","Kertosono", "35.18.08","Lengkong","35.18.19","Loceret","35.18.04","Tanjunganom","35.18.11","Wilangan","35.18.15")</f>
        <v>35.18.08</v>
      </c>
      <c r="E1007" s="16" t="s">
        <v>128</v>
      </c>
      <c r="F1007" s="33" t="s">
        <v>2377</v>
      </c>
      <c r="G1007" s="33" t="s">
        <v>2386</v>
      </c>
      <c r="H1007" s="16" t="s">
        <v>31</v>
      </c>
      <c r="I1007" s="16">
        <v>1</v>
      </c>
      <c r="J1007" s="16">
        <v>0</v>
      </c>
      <c r="K1007" s="16">
        <f t="shared" si="17"/>
        <v>1</v>
      </c>
      <c r="L1007" s="38">
        <v>500000</v>
      </c>
      <c r="M1007" s="33" t="s">
        <v>1120</v>
      </c>
      <c r="N1007" s="67">
        <v>4032</v>
      </c>
      <c r="O1007" s="16" t="s">
        <v>422</v>
      </c>
      <c r="P1007" s="70">
        <v>48384000</v>
      </c>
      <c r="Q1007" s="33" t="s">
        <v>1642</v>
      </c>
      <c r="R1007" s="67">
        <v>4032</v>
      </c>
      <c r="S1007" s="16" t="s">
        <v>422</v>
      </c>
      <c r="T1007" s="67">
        <v>31046400</v>
      </c>
      <c r="U1007" s="16" t="s">
        <v>22</v>
      </c>
      <c r="V1007" s="16"/>
      <c r="W1007" s="16"/>
      <c r="X1007" s="16"/>
      <c r="Y1007" s="16">
        <v>30</v>
      </c>
      <c r="Z1007" s="16">
        <v>30</v>
      </c>
      <c r="AA1007" s="16">
        <v>40</v>
      </c>
      <c r="AB1007" s="16">
        <v>0</v>
      </c>
      <c r="AC1007" s="75"/>
      <c r="AD1007" s="68"/>
      <c r="AE1007" s="23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</row>
    <row r="1008" spans="1:84" s="2" customFormat="1" x14ac:dyDescent="0.2">
      <c r="A1008" s="17" t="s">
        <v>3921</v>
      </c>
      <c r="B1008" s="17" t="s">
        <v>45</v>
      </c>
      <c r="C1008" s="17">
        <v>2025</v>
      </c>
      <c r="D1008" s="17" t="str">
        <f t="array" ref="D1008">_xlfn.SWITCH(E1008,"Jatikalen","35.18.20","Kertosono", "35.18.08","Lengkong","35.18.19","Loceret","35.18.04","Tanjunganom","35.18.11","Wilangan","35.18.15")</f>
        <v>35.18.08</v>
      </c>
      <c r="E1008" s="16" t="s">
        <v>128</v>
      </c>
      <c r="F1008" s="33" t="s">
        <v>2377</v>
      </c>
      <c r="G1008" s="33" t="s">
        <v>2387</v>
      </c>
      <c r="H1008" s="16" t="s">
        <v>31</v>
      </c>
      <c r="I1008" s="16">
        <v>1</v>
      </c>
      <c r="J1008" s="16">
        <v>0</v>
      </c>
      <c r="K1008" s="16">
        <f t="shared" si="17"/>
        <v>1</v>
      </c>
      <c r="L1008" s="38">
        <v>1000000</v>
      </c>
      <c r="M1008" s="33" t="s">
        <v>1120</v>
      </c>
      <c r="N1008" s="67">
        <v>10080</v>
      </c>
      <c r="O1008" s="16" t="s">
        <v>422</v>
      </c>
      <c r="P1008" s="70">
        <v>120960000</v>
      </c>
      <c r="Q1008" s="33" t="s">
        <v>1642</v>
      </c>
      <c r="R1008" s="67">
        <v>10080</v>
      </c>
      <c r="S1008" s="16" t="s">
        <v>422</v>
      </c>
      <c r="T1008" s="67">
        <v>77616000</v>
      </c>
      <c r="U1008" s="16" t="s">
        <v>22</v>
      </c>
      <c r="V1008" s="16"/>
      <c r="W1008" s="16"/>
      <c r="X1008" s="16"/>
      <c r="Y1008" s="16">
        <v>80</v>
      </c>
      <c r="Z1008" s="16">
        <v>20</v>
      </c>
      <c r="AA1008" s="16">
        <v>0</v>
      </c>
      <c r="AB1008" s="16">
        <v>0</v>
      </c>
      <c r="AC1008" s="75"/>
      <c r="AD1008" s="68"/>
      <c r="AE1008" s="23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</row>
    <row r="1009" spans="1:84" s="2" customFormat="1" x14ac:dyDescent="0.2">
      <c r="A1009" s="17" t="s">
        <v>3921</v>
      </c>
      <c r="B1009" s="17" t="s">
        <v>45</v>
      </c>
      <c r="C1009" s="17">
        <v>2025</v>
      </c>
      <c r="D1009" s="17" t="str">
        <f t="array" ref="D1009">_xlfn.SWITCH(E1009,"Jatikalen","35.18.20","Kertosono", "35.18.08","Lengkong","35.18.19","Loceret","35.18.04","Tanjunganom","35.18.11","Wilangan","35.18.15")</f>
        <v>35.18.08</v>
      </c>
      <c r="E1009" s="16" t="s">
        <v>128</v>
      </c>
      <c r="F1009" s="33" t="s">
        <v>2377</v>
      </c>
      <c r="G1009" s="33" t="s">
        <v>2388</v>
      </c>
      <c r="H1009" s="16" t="s">
        <v>31</v>
      </c>
      <c r="I1009" s="16">
        <v>1</v>
      </c>
      <c r="J1009" s="16">
        <v>0</v>
      </c>
      <c r="K1009" s="16">
        <f t="shared" si="17"/>
        <v>1</v>
      </c>
      <c r="L1009" s="38">
        <v>5000000</v>
      </c>
      <c r="M1009" s="33" t="s">
        <v>1120</v>
      </c>
      <c r="N1009" s="67">
        <v>8400</v>
      </c>
      <c r="O1009" s="16" t="s">
        <v>422</v>
      </c>
      <c r="P1009" s="70">
        <v>100800000</v>
      </c>
      <c r="Q1009" s="33" t="s">
        <v>1642</v>
      </c>
      <c r="R1009" s="67">
        <v>8400</v>
      </c>
      <c r="S1009" s="16" t="s">
        <v>422</v>
      </c>
      <c r="T1009" s="67">
        <v>64680000</v>
      </c>
      <c r="U1009" s="16" t="s">
        <v>22</v>
      </c>
      <c r="V1009" s="16"/>
      <c r="W1009" s="16"/>
      <c r="X1009" s="16"/>
      <c r="Y1009" s="16">
        <v>75</v>
      </c>
      <c r="Z1009" s="16">
        <v>25</v>
      </c>
      <c r="AA1009" s="16">
        <v>0</v>
      </c>
      <c r="AB1009" s="16">
        <v>0</v>
      </c>
      <c r="AC1009" s="75"/>
      <c r="AD1009" s="68"/>
      <c r="AE1009" s="23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</row>
    <row r="1010" spans="1:84" s="2" customFormat="1" x14ac:dyDescent="0.2">
      <c r="A1010" s="17" t="s">
        <v>3921</v>
      </c>
      <c r="B1010" s="17" t="s">
        <v>45</v>
      </c>
      <c r="C1010" s="17">
        <v>2025</v>
      </c>
      <c r="D1010" s="17" t="str">
        <f t="array" ref="D1010">_xlfn.SWITCH(E1010,"Jatikalen","35.18.20","Kertosono", "35.18.08","Lengkong","35.18.19","Loceret","35.18.04","Tanjunganom","35.18.11","Wilangan","35.18.15")</f>
        <v>35.18.08</v>
      </c>
      <c r="E1010" s="16" t="s">
        <v>128</v>
      </c>
      <c r="F1010" s="33" t="s">
        <v>2377</v>
      </c>
      <c r="G1010" s="33" t="s">
        <v>2389</v>
      </c>
      <c r="H1010" s="16" t="s">
        <v>31</v>
      </c>
      <c r="I1010" s="16">
        <v>1</v>
      </c>
      <c r="J1010" s="16">
        <v>0</v>
      </c>
      <c r="K1010" s="16">
        <f t="shared" si="17"/>
        <v>1</v>
      </c>
      <c r="L1010" s="38">
        <v>500000</v>
      </c>
      <c r="M1010" s="33" t="s">
        <v>1120</v>
      </c>
      <c r="N1010" s="67">
        <v>3360</v>
      </c>
      <c r="O1010" s="16" t="s">
        <v>422</v>
      </c>
      <c r="P1010" s="70">
        <v>40320000</v>
      </c>
      <c r="Q1010" s="33" t="s">
        <v>1642</v>
      </c>
      <c r="R1010" s="67">
        <v>3360</v>
      </c>
      <c r="S1010" s="16" t="s">
        <v>422</v>
      </c>
      <c r="T1010" s="67">
        <v>25872000</v>
      </c>
      <c r="U1010" s="16" t="s">
        <v>22</v>
      </c>
      <c r="V1010" s="16"/>
      <c r="W1010" s="16"/>
      <c r="X1010" s="16"/>
      <c r="Y1010" s="16">
        <v>80</v>
      </c>
      <c r="Z1010" s="16">
        <v>20</v>
      </c>
      <c r="AA1010" s="16">
        <v>0</v>
      </c>
      <c r="AB1010" s="16">
        <v>0</v>
      </c>
      <c r="AC1010" s="75"/>
      <c r="AD1010" s="68"/>
      <c r="AE1010" s="23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</row>
    <row r="1011" spans="1:84" s="2" customFormat="1" x14ac:dyDescent="0.2">
      <c r="A1011" s="17" t="s">
        <v>3921</v>
      </c>
      <c r="B1011" s="17" t="s">
        <v>45</v>
      </c>
      <c r="C1011" s="17">
        <v>2025</v>
      </c>
      <c r="D1011" s="17" t="str">
        <f t="array" ref="D1011">_xlfn.SWITCH(E1011,"Jatikalen","35.18.20","Kertosono", "35.18.08","Lengkong","35.18.19","Loceret","35.18.04","Tanjunganom","35.18.11","Wilangan","35.18.15")</f>
        <v>35.18.08</v>
      </c>
      <c r="E1011" s="16" t="s">
        <v>128</v>
      </c>
      <c r="F1011" s="33" t="s">
        <v>2377</v>
      </c>
      <c r="G1011" s="33" t="s">
        <v>2390</v>
      </c>
      <c r="H1011" s="16" t="s">
        <v>31</v>
      </c>
      <c r="I1011" s="16">
        <v>1</v>
      </c>
      <c r="J1011" s="16">
        <v>0</v>
      </c>
      <c r="K1011" s="16">
        <f t="shared" si="17"/>
        <v>1</v>
      </c>
      <c r="L1011" s="38">
        <v>1000000</v>
      </c>
      <c r="M1011" s="33" t="s">
        <v>1120</v>
      </c>
      <c r="N1011" s="67">
        <v>3360</v>
      </c>
      <c r="O1011" s="16" t="s">
        <v>422</v>
      </c>
      <c r="P1011" s="70">
        <v>40320000</v>
      </c>
      <c r="Q1011" s="33" t="s">
        <v>1642</v>
      </c>
      <c r="R1011" s="67">
        <v>3360</v>
      </c>
      <c r="S1011" s="16" t="s">
        <v>422</v>
      </c>
      <c r="T1011" s="67">
        <v>25872000</v>
      </c>
      <c r="U1011" s="16" t="s">
        <v>22</v>
      </c>
      <c r="V1011" s="16"/>
      <c r="W1011" s="16"/>
      <c r="X1011" s="16"/>
      <c r="Y1011" s="16">
        <v>80</v>
      </c>
      <c r="Z1011" s="16">
        <v>20</v>
      </c>
      <c r="AA1011" s="16">
        <v>0</v>
      </c>
      <c r="AB1011" s="16">
        <v>0</v>
      </c>
      <c r="AC1011" s="75"/>
      <c r="AD1011" s="68"/>
      <c r="AE1011" s="23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</row>
    <row r="1012" spans="1:84" s="2" customFormat="1" x14ac:dyDescent="0.2">
      <c r="A1012" s="17" t="s">
        <v>3921</v>
      </c>
      <c r="B1012" s="17" t="s">
        <v>45</v>
      </c>
      <c r="C1012" s="17">
        <v>2025</v>
      </c>
      <c r="D1012" s="17" t="str">
        <f t="array" ref="D1012">_xlfn.SWITCH(E1012,"Jatikalen","35.18.20","Kertosono", "35.18.08","Lengkong","35.18.19","Loceret","35.18.04","Tanjunganom","35.18.11","Wilangan","35.18.15")</f>
        <v>35.18.08</v>
      </c>
      <c r="E1012" s="16" t="s">
        <v>128</v>
      </c>
      <c r="F1012" s="33" t="s">
        <v>2377</v>
      </c>
      <c r="G1012" s="33" t="s">
        <v>2391</v>
      </c>
      <c r="H1012" s="16" t="s">
        <v>31</v>
      </c>
      <c r="I1012" s="16">
        <v>1</v>
      </c>
      <c r="J1012" s="16">
        <v>0</v>
      </c>
      <c r="K1012" s="16">
        <f t="shared" si="17"/>
        <v>1</v>
      </c>
      <c r="L1012" s="38">
        <v>5000000</v>
      </c>
      <c r="M1012" s="33" t="s">
        <v>1120</v>
      </c>
      <c r="N1012" s="67">
        <v>5040</v>
      </c>
      <c r="O1012" s="16" t="s">
        <v>422</v>
      </c>
      <c r="P1012" s="70">
        <v>60480000</v>
      </c>
      <c r="Q1012" s="33" t="s">
        <v>1642</v>
      </c>
      <c r="R1012" s="67">
        <v>5040</v>
      </c>
      <c r="S1012" s="16" t="s">
        <v>422</v>
      </c>
      <c r="T1012" s="67">
        <v>36808000</v>
      </c>
      <c r="U1012" s="16" t="s">
        <v>22</v>
      </c>
      <c r="V1012" s="16"/>
      <c r="W1012" s="16"/>
      <c r="X1012" s="16"/>
      <c r="Y1012" s="16">
        <v>80</v>
      </c>
      <c r="Z1012" s="16">
        <v>20</v>
      </c>
      <c r="AA1012" s="16">
        <v>0</v>
      </c>
      <c r="AB1012" s="16">
        <v>0</v>
      </c>
      <c r="AC1012" s="75"/>
      <c r="AD1012" s="68"/>
      <c r="AE1012" s="23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</row>
    <row r="1013" spans="1:84" s="2" customFormat="1" x14ac:dyDescent="0.2">
      <c r="A1013" s="17" t="s">
        <v>3921</v>
      </c>
      <c r="B1013" s="17" t="s">
        <v>45</v>
      </c>
      <c r="C1013" s="17">
        <v>2025</v>
      </c>
      <c r="D1013" s="17" t="str">
        <f t="array" ref="D1013">_xlfn.SWITCH(E1013,"Jatikalen","35.18.20","Kertosono", "35.18.08","Lengkong","35.18.19","Loceret","35.18.04","Tanjunganom","35.18.11","Wilangan","35.18.15")</f>
        <v>35.18.08</v>
      </c>
      <c r="E1013" s="16" t="s">
        <v>128</v>
      </c>
      <c r="F1013" s="33" t="s">
        <v>2377</v>
      </c>
      <c r="G1013" s="33" t="s">
        <v>2392</v>
      </c>
      <c r="H1013" s="16" t="s">
        <v>31</v>
      </c>
      <c r="I1013" s="16">
        <v>1</v>
      </c>
      <c r="J1013" s="16">
        <v>0</v>
      </c>
      <c r="K1013" s="16">
        <f t="shared" si="17"/>
        <v>1</v>
      </c>
      <c r="L1013" s="38">
        <v>10000000</v>
      </c>
      <c r="M1013" s="33" t="s">
        <v>1120</v>
      </c>
      <c r="N1013" s="67">
        <v>26880</v>
      </c>
      <c r="O1013" s="16" t="s">
        <v>422</v>
      </c>
      <c r="P1013" s="70">
        <v>322560000</v>
      </c>
      <c r="Q1013" s="33" t="s">
        <v>1642</v>
      </c>
      <c r="R1013" s="67">
        <v>26880</v>
      </c>
      <c r="S1013" s="16" t="s">
        <v>422</v>
      </c>
      <c r="T1013" s="67">
        <v>206976000</v>
      </c>
      <c r="U1013" s="16" t="s">
        <v>22</v>
      </c>
      <c r="V1013" s="16"/>
      <c r="W1013" s="16"/>
      <c r="X1013" s="16"/>
      <c r="Y1013" s="16">
        <v>80</v>
      </c>
      <c r="Z1013" s="16">
        <v>20</v>
      </c>
      <c r="AA1013" s="16">
        <v>0</v>
      </c>
      <c r="AB1013" s="16">
        <v>0</v>
      </c>
      <c r="AC1013" s="75"/>
      <c r="AD1013" s="68"/>
      <c r="AE1013" s="23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</row>
    <row r="1014" spans="1:84" s="2" customFormat="1" x14ac:dyDescent="0.2">
      <c r="A1014" s="17" t="s">
        <v>3921</v>
      </c>
      <c r="B1014" s="17" t="s">
        <v>45</v>
      </c>
      <c r="C1014" s="17">
        <v>2025</v>
      </c>
      <c r="D1014" s="17" t="str">
        <f t="array" ref="D1014">_xlfn.SWITCH(E1014,"Jatikalen","35.18.20","Kertosono", "35.18.08","Lengkong","35.18.19","Loceret","35.18.04","Tanjunganom","35.18.11","Wilangan","35.18.15")</f>
        <v>35.18.08</v>
      </c>
      <c r="E1014" s="16" t="s">
        <v>128</v>
      </c>
      <c r="F1014" s="33" t="s">
        <v>2377</v>
      </c>
      <c r="G1014" s="33" t="s">
        <v>2393</v>
      </c>
      <c r="H1014" s="16" t="s">
        <v>31</v>
      </c>
      <c r="I1014" s="16">
        <v>1</v>
      </c>
      <c r="J1014" s="16">
        <v>0</v>
      </c>
      <c r="K1014" s="16">
        <f t="shared" si="17"/>
        <v>1</v>
      </c>
      <c r="L1014" s="38">
        <v>2700000</v>
      </c>
      <c r="M1014" s="33" t="s">
        <v>1120</v>
      </c>
      <c r="N1014" s="67">
        <v>3360</v>
      </c>
      <c r="O1014" s="16" t="s">
        <v>422</v>
      </c>
      <c r="P1014" s="70">
        <v>40320000</v>
      </c>
      <c r="Q1014" s="33" t="s">
        <v>1642</v>
      </c>
      <c r="R1014" s="67">
        <v>3360</v>
      </c>
      <c r="S1014" s="16" t="s">
        <v>422</v>
      </c>
      <c r="T1014" s="67">
        <v>25872000</v>
      </c>
      <c r="U1014" s="16" t="s">
        <v>22</v>
      </c>
      <c r="V1014" s="16"/>
      <c r="W1014" s="16"/>
      <c r="X1014" s="16"/>
      <c r="Y1014" s="16">
        <v>40</v>
      </c>
      <c r="Z1014" s="16">
        <v>30</v>
      </c>
      <c r="AA1014" s="16">
        <v>30</v>
      </c>
      <c r="AB1014" s="16">
        <v>0</v>
      </c>
      <c r="AC1014" s="75"/>
      <c r="AD1014" s="68"/>
      <c r="AE1014" s="23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</row>
    <row r="1015" spans="1:84" s="2" customFormat="1" x14ac:dyDescent="0.2">
      <c r="A1015" s="17" t="s">
        <v>3921</v>
      </c>
      <c r="B1015" s="17" t="s">
        <v>45</v>
      </c>
      <c r="C1015" s="17">
        <v>2025</v>
      </c>
      <c r="D1015" s="17" t="str">
        <f t="array" ref="D1015">_xlfn.SWITCH(E1015,"Jatikalen","35.18.20","Kertosono", "35.18.08","Lengkong","35.18.19","Loceret","35.18.04","Tanjunganom","35.18.11","Wilangan","35.18.15")</f>
        <v>35.18.08</v>
      </c>
      <c r="E1015" s="16" t="s">
        <v>128</v>
      </c>
      <c r="F1015" s="33" t="s">
        <v>2377</v>
      </c>
      <c r="G1015" s="33" t="s">
        <v>2394</v>
      </c>
      <c r="H1015" s="16" t="s">
        <v>31</v>
      </c>
      <c r="I1015" s="16">
        <v>1</v>
      </c>
      <c r="J1015" s="16">
        <v>0</v>
      </c>
      <c r="K1015" s="16">
        <f t="shared" si="17"/>
        <v>1</v>
      </c>
      <c r="L1015" s="38">
        <v>4000000</v>
      </c>
      <c r="M1015" s="33" t="s">
        <v>1120</v>
      </c>
      <c r="N1015" s="67">
        <v>13440</v>
      </c>
      <c r="O1015" s="16" t="s">
        <v>422</v>
      </c>
      <c r="P1015" s="70">
        <v>161280000</v>
      </c>
      <c r="Q1015" s="33" t="s">
        <v>1642</v>
      </c>
      <c r="R1015" s="67">
        <v>13440</v>
      </c>
      <c r="S1015" s="16" t="s">
        <v>422</v>
      </c>
      <c r="T1015" s="67">
        <v>103488000</v>
      </c>
      <c r="U1015" s="16" t="s">
        <v>22</v>
      </c>
      <c r="V1015" s="16"/>
      <c r="W1015" s="16"/>
      <c r="X1015" s="16"/>
      <c r="Y1015" s="16">
        <v>35</v>
      </c>
      <c r="Z1015" s="16">
        <v>40</v>
      </c>
      <c r="AA1015" s="16">
        <v>25</v>
      </c>
      <c r="AB1015" s="16">
        <v>0</v>
      </c>
      <c r="AC1015" s="75"/>
      <c r="AD1015" s="68"/>
      <c r="AE1015" s="23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</row>
    <row r="1016" spans="1:84" s="2" customFormat="1" x14ac:dyDescent="0.2">
      <c r="A1016" s="17" t="s">
        <v>3921</v>
      </c>
      <c r="B1016" s="17" t="s">
        <v>45</v>
      </c>
      <c r="C1016" s="17">
        <v>2025</v>
      </c>
      <c r="D1016" s="17" t="str">
        <f t="array" ref="D1016">_xlfn.SWITCH(E1016,"Jatikalen","35.18.20","Kertosono", "35.18.08","Lengkong","35.18.19","Loceret","35.18.04","Tanjunganom","35.18.11","Wilangan","35.18.15")</f>
        <v>35.18.08</v>
      </c>
      <c r="E1016" s="16" t="s">
        <v>128</v>
      </c>
      <c r="F1016" s="33" t="s">
        <v>2377</v>
      </c>
      <c r="G1016" s="33" t="s">
        <v>2395</v>
      </c>
      <c r="H1016" s="16" t="s">
        <v>31</v>
      </c>
      <c r="I1016" s="16">
        <v>1</v>
      </c>
      <c r="J1016" s="16">
        <v>0</v>
      </c>
      <c r="K1016" s="16">
        <f t="shared" si="17"/>
        <v>1</v>
      </c>
      <c r="L1016" s="38">
        <v>3000000</v>
      </c>
      <c r="M1016" s="33" t="s">
        <v>1120</v>
      </c>
      <c r="N1016" s="67">
        <v>4368</v>
      </c>
      <c r="O1016" s="16" t="s">
        <v>422</v>
      </c>
      <c r="P1016" s="70">
        <v>50400000</v>
      </c>
      <c r="Q1016" s="33" t="s">
        <v>1642</v>
      </c>
      <c r="R1016" s="67">
        <v>4368</v>
      </c>
      <c r="S1016" s="16" t="s">
        <v>422</v>
      </c>
      <c r="T1016" s="67">
        <v>33633000</v>
      </c>
      <c r="U1016" s="16" t="s">
        <v>22</v>
      </c>
      <c r="V1016" s="16"/>
      <c r="W1016" s="16"/>
      <c r="X1016" s="16"/>
      <c r="Y1016" s="16">
        <v>50</v>
      </c>
      <c r="Z1016" s="16">
        <v>40</v>
      </c>
      <c r="AA1016" s="16">
        <v>10</v>
      </c>
      <c r="AB1016" s="16">
        <v>0</v>
      </c>
      <c r="AC1016" s="75"/>
      <c r="AD1016" s="68"/>
      <c r="AE1016" s="23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</row>
    <row r="1017" spans="1:84" s="2" customFormat="1" x14ac:dyDescent="0.2">
      <c r="A1017" s="17" t="s">
        <v>3921</v>
      </c>
      <c r="B1017" s="17" t="s">
        <v>45</v>
      </c>
      <c r="C1017" s="17">
        <v>2025</v>
      </c>
      <c r="D1017" s="17" t="str">
        <f t="array" ref="D1017">_xlfn.SWITCH(E1017,"Jatikalen","35.18.20","Kertosono", "35.18.08","Lengkong","35.18.19","Loceret","35.18.04","Tanjunganom","35.18.11","Wilangan","35.18.15")</f>
        <v>35.18.08</v>
      </c>
      <c r="E1017" s="16" t="s">
        <v>128</v>
      </c>
      <c r="F1017" s="33" t="s">
        <v>2377</v>
      </c>
      <c r="G1017" s="33" t="s">
        <v>2396</v>
      </c>
      <c r="H1017" s="16" t="s">
        <v>31</v>
      </c>
      <c r="I1017" s="16">
        <v>1</v>
      </c>
      <c r="J1017" s="16">
        <v>0</v>
      </c>
      <c r="K1017" s="16">
        <f t="shared" si="17"/>
        <v>1</v>
      </c>
      <c r="L1017" s="38">
        <v>3500000</v>
      </c>
      <c r="M1017" s="33" t="s">
        <v>1120</v>
      </c>
      <c r="N1017" s="67">
        <v>3360</v>
      </c>
      <c r="O1017" s="16" t="s">
        <v>422</v>
      </c>
      <c r="P1017" s="70">
        <v>40320000</v>
      </c>
      <c r="Q1017" s="33" t="s">
        <v>1642</v>
      </c>
      <c r="R1017" s="67">
        <v>3360</v>
      </c>
      <c r="S1017" s="16" t="s">
        <v>422</v>
      </c>
      <c r="T1017" s="67">
        <v>25872000</v>
      </c>
      <c r="U1017" s="16" t="s">
        <v>22</v>
      </c>
      <c r="V1017" s="16"/>
      <c r="W1017" s="16"/>
      <c r="X1017" s="16"/>
      <c r="Y1017" s="16">
        <v>40</v>
      </c>
      <c r="Z1017" s="16">
        <v>30</v>
      </c>
      <c r="AA1017" s="16">
        <v>30</v>
      </c>
      <c r="AB1017" s="16">
        <v>0</v>
      </c>
      <c r="AC1017" s="75"/>
      <c r="AD1017" s="68"/>
      <c r="AE1017" s="23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</row>
    <row r="1018" spans="1:84" s="2" customFormat="1" x14ac:dyDescent="0.2">
      <c r="A1018" s="17" t="s">
        <v>3921</v>
      </c>
      <c r="B1018" s="17" t="s">
        <v>45</v>
      </c>
      <c r="C1018" s="17">
        <v>2025</v>
      </c>
      <c r="D1018" s="17" t="str">
        <f t="array" ref="D1018">_xlfn.SWITCH(E1018,"Jatikalen","35.18.20","Kertosono", "35.18.08","Lengkong","35.18.19","Loceret","35.18.04","Tanjunganom","35.18.11","Wilangan","35.18.15")</f>
        <v>35.18.08</v>
      </c>
      <c r="E1018" s="16" t="s">
        <v>128</v>
      </c>
      <c r="F1018" s="33" t="s">
        <v>2377</v>
      </c>
      <c r="G1018" s="33" t="s">
        <v>2397</v>
      </c>
      <c r="H1018" s="16" t="s">
        <v>31</v>
      </c>
      <c r="I1018" s="16">
        <v>1</v>
      </c>
      <c r="J1018" s="16">
        <v>0</v>
      </c>
      <c r="K1018" s="16">
        <f t="shared" si="17"/>
        <v>1</v>
      </c>
      <c r="L1018" s="38">
        <v>2500000</v>
      </c>
      <c r="M1018" s="33" t="s">
        <v>1120</v>
      </c>
      <c r="N1018" s="67">
        <v>6720</v>
      </c>
      <c r="O1018" s="16" t="s">
        <v>422</v>
      </c>
      <c r="P1018" s="70">
        <v>67200000</v>
      </c>
      <c r="Q1018" s="33" t="s">
        <v>1642</v>
      </c>
      <c r="R1018" s="67">
        <v>6720</v>
      </c>
      <c r="S1018" s="16" t="s">
        <v>422</v>
      </c>
      <c r="T1018" s="67">
        <v>51744000</v>
      </c>
      <c r="U1018" s="16" t="s">
        <v>22</v>
      </c>
      <c r="V1018" s="16"/>
      <c r="W1018" s="16"/>
      <c r="X1018" s="16"/>
      <c r="Y1018" s="16">
        <v>50</v>
      </c>
      <c r="Z1018" s="16">
        <v>30</v>
      </c>
      <c r="AA1018" s="16">
        <v>20</v>
      </c>
      <c r="AB1018" s="16">
        <v>0</v>
      </c>
      <c r="AC1018" s="75"/>
      <c r="AD1018" s="68"/>
      <c r="AE1018" s="23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</row>
    <row r="1019" spans="1:84" s="2" customFormat="1" x14ac:dyDescent="0.2">
      <c r="A1019" s="17" t="s">
        <v>3921</v>
      </c>
      <c r="B1019" s="17" t="s">
        <v>45</v>
      </c>
      <c r="C1019" s="17">
        <v>2025</v>
      </c>
      <c r="D1019" s="17" t="str">
        <f t="array" ref="D1019">_xlfn.SWITCH(E1019,"Jatikalen","35.18.20","Kertosono", "35.18.08","Lengkong","35.18.19","Loceret","35.18.04","Tanjunganom","35.18.11","Wilangan","35.18.15")</f>
        <v>35.18.08</v>
      </c>
      <c r="E1019" s="16" t="s">
        <v>128</v>
      </c>
      <c r="F1019" s="33" t="s">
        <v>2377</v>
      </c>
      <c r="G1019" s="33" t="s">
        <v>2398</v>
      </c>
      <c r="H1019" s="16" t="s">
        <v>31</v>
      </c>
      <c r="I1019" s="16">
        <v>1</v>
      </c>
      <c r="J1019" s="16">
        <v>0</v>
      </c>
      <c r="K1019" s="16">
        <f t="shared" si="17"/>
        <v>1</v>
      </c>
      <c r="L1019" s="38">
        <v>3500000</v>
      </c>
      <c r="M1019" s="33" t="s">
        <v>1120</v>
      </c>
      <c r="N1019" s="67">
        <v>5712</v>
      </c>
      <c r="O1019" s="16" t="s">
        <v>422</v>
      </c>
      <c r="P1019" s="70">
        <v>60480000</v>
      </c>
      <c r="Q1019" s="33" t="s">
        <v>1642</v>
      </c>
      <c r="R1019" s="67">
        <v>5712</v>
      </c>
      <c r="S1019" s="16" t="s">
        <v>422</v>
      </c>
      <c r="T1019" s="67">
        <v>43982000</v>
      </c>
      <c r="U1019" s="16" t="s">
        <v>22</v>
      </c>
      <c r="V1019" s="16"/>
      <c r="W1019" s="16"/>
      <c r="X1019" s="16"/>
      <c r="Y1019" s="16">
        <v>45</v>
      </c>
      <c r="Z1019" s="16">
        <v>30</v>
      </c>
      <c r="AA1019" s="16">
        <v>25</v>
      </c>
      <c r="AB1019" s="16">
        <v>0</v>
      </c>
      <c r="AC1019" s="75"/>
      <c r="AD1019" s="68"/>
      <c r="AE1019" s="23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</row>
    <row r="1020" spans="1:84" s="2" customFormat="1" x14ac:dyDescent="0.2">
      <c r="A1020" s="17" t="s">
        <v>3921</v>
      </c>
      <c r="B1020" s="17" t="s">
        <v>45</v>
      </c>
      <c r="C1020" s="17">
        <v>2025</v>
      </c>
      <c r="D1020" s="17" t="str">
        <f t="array" ref="D1020">_xlfn.SWITCH(E1020,"Jatikalen","35.18.20","Kertosono", "35.18.08","Lengkong","35.18.19","Loceret","35.18.04","Tanjunganom","35.18.11","Wilangan","35.18.15")</f>
        <v>35.18.08</v>
      </c>
      <c r="E1020" s="16" t="s">
        <v>128</v>
      </c>
      <c r="F1020" s="33" t="s">
        <v>2377</v>
      </c>
      <c r="G1020" s="33" t="s">
        <v>2399</v>
      </c>
      <c r="H1020" s="16" t="s">
        <v>31</v>
      </c>
      <c r="I1020" s="16">
        <v>1</v>
      </c>
      <c r="J1020" s="16">
        <v>0</v>
      </c>
      <c r="K1020" s="16">
        <f t="shared" si="17"/>
        <v>1</v>
      </c>
      <c r="L1020" s="38">
        <v>1000000</v>
      </c>
      <c r="M1020" s="33" t="s">
        <v>1120</v>
      </c>
      <c r="N1020" s="67">
        <v>5040</v>
      </c>
      <c r="O1020" s="16" t="s">
        <v>422</v>
      </c>
      <c r="P1020" s="70">
        <v>50400000</v>
      </c>
      <c r="Q1020" s="33" t="s">
        <v>1642</v>
      </c>
      <c r="R1020" s="67">
        <v>5040</v>
      </c>
      <c r="S1020" s="16" t="s">
        <v>422</v>
      </c>
      <c r="T1020" s="67">
        <v>36808000</v>
      </c>
      <c r="U1020" s="16" t="s">
        <v>22</v>
      </c>
      <c r="V1020" s="16"/>
      <c r="W1020" s="16"/>
      <c r="X1020" s="16"/>
      <c r="Y1020" s="16">
        <v>40</v>
      </c>
      <c r="Z1020" s="16">
        <v>40</v>
      </c>
      <c r="AA1020" s="16">
        <v>20</v>
      </c>
      <c r="AB1020" s="16">
        <v>0</v>
      </c>
      <c r="AC1020" s="75"/>
      <c r="AD1020" s="68"/>
      <c r="AE1020" s="23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</row>
    <row r="1021" spans="1:84" s="2" customFormat="1" x14ac:dyDescent="0.2">
      <c r="A1021" s="17" t="s">
        <v>3921</v>
      </c>
      <c r="B1021" s="17" t="s">
        <v>45</v>
      </c>
      <c r="C1021" s="17">
        <v>2025</v>
      </c>
      <c r="D1021" s="17" t="str">
        <f t="array" ref="D1021">_xlfn.SWITCH(E1021,"Jatikalen","35.18.20","Kertosono", "35.18.08","Lengkong","35.18.19","Loceret","35.18.04","Tanjunganom","35.18.11","Wilangan","35.18.15")</f>
        <v>35.18.08</v>
      </c>
      <c r="E1021" s="16" t="s">
        <v>128</v>
      </c>
      <c r="F1021" s="33" t="s">
        <v>2377</v>
      </c>
      <c r="G1021" s="33" t="s">
        <v>2400</v>
      </c>
      <c r="H1021" s="16" t="s">
        <v>31</v>
      </c>
      <c r="I1021" s="16">
        <v>1</v>
      </c>
      <c r="J1021" s="16">
        <v>0</v>
      </c>
      <c r="K1021" s="16">
        <f t="shared" si="17"/>
        <v>1</v>
      </c>
      <c r="L1021" s="38">
        <v>1500000</v>
      </c>
      <c r="M1021" s="33" t="s">
        <v>1120</v>
      </c>
      <c r="N1021" s="67">
        <v>6720</v>
      </c>
      <c r="O1021" s="16" t="s">
        <v>422</v>
      </c>
      <c r="P1021" s="70">
        <v>67200000</v>
      </c>
      <c r="Q1021" s="33" t="s">
        <v>1642</v>
      </c>
      <c r="R1021" s="67">
        <v>6720</v>
      </c>
      <c r="S1021" s="16" t="s">
        <v>422</v>
      </c>
      <c r="T1021" s="67">
        <v>51744000</v>
      </c>
      <c r="U1021" s="16" t="s">
        <v>22</v>
      </c>
      <c r="V1021" s="16"/>
      <c r="W1021" s="16"/>
      <c r="X1021" s="16"/>
      <c r="Y1021" s="16">
        <v>60</v>
      </c>
      <c r="Z1021" s="16">
        <v>40</v>
      </c>
      <c r="AA1021" s="16">
        <v>0</v>
      </c>
      <c r="AB1021" s="16">
        <v>0</v>
      </c>
      <c r="AC1021" s="75"/>
      <c r="AD1021" s="68"/>
      <c r="AE1021" s="23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</row>
    <row r="1022" spans="1:84" s="2" customFormat="1" x14ac:dyDescent="0.2">
      <c r="A1022" s="17" t="s">
        <v>3921</v>
      </c>
      <c r="B1022" s="17" t="s">
        <v>45</v>
      </c>
      <c r="C1022" s="17">
        <v>2025</v>
      </c>
      <c r="D1022" s="17" t="str">
        <f t="array" ref="D1022">_xlfn.SWITCH(E1022,"Jatikalen","35.18.20","Kertosono", "35.18.08","Lengkong","35.18.19","Loceret","35.18.04","Tanjunganom","35.18.11","Wilangan","35.18.15")</f>
        <v>35.18.08</v>
      </c>
      <c r="E1022" s="16" t="s">
        <v>128</v>
      </c>
      <c r="F1022" s="33" t="s">
        <v>2377</v>
      </c>
      <c r="G1022" s="33" t="s">
        <v>2401</v>
      </c>
      <c r="H1022" s="16" t="s">
        <v>31</v>
      </c>
      <c r="I1022" s="16">
        <v>1</v>
      </c>
      <c r="J1022" s="16">
        <v>0</v>
      </c>
      <c r="K1022" s="16">
        <f t="shared" si="17"/>
        <v>1</v>
      </c>
      <c r="L1022" s="38">
        <v>1500000</v>
      </c>
      <c r="M1022" s="33" t="s">
        <v>1120</v>
      </c>
      <c r="N1022" s="67">
        <v>6720</v>
      </c>
      <c r="O1022" s="16" t="s">
        <v>422</v>
      </c>
      <c r="P1022" s="70">
        <v>67200000</v>
      </c>
      <c r="Q1022" s="33" t="s">
        <v>1642</v>
      </c>
      <c r="R1022" s="67">
        <v>6720</v>
      </c>
      <c r="S1022" s="16" t="s">
        <v>422</v>
      </c>
      <c r="T1022" s="67">
        <v>51744000</v>
      </c>
      <c r="U1022" s="16" t="s">
        <v>22</v>
      </c>
      <c r="V1022" s="16"/>
      <c r="W1022" s="16"/>
      <c r="X1022" s="16"/>
      <c r="Y1022" s="16">
        <v>40</v>
      </c>
      <c r="Z1022" s="16">
        <v>30</v>
      </c>
      <c r="AA1022" s="16">
        <v>30</v>
      </c>
      <c r="AB1022" s="16">
        <v>0</v>
      </c>
      <c r="AC1022" s="75"/>
      <c r="AD1022" s="68"/>
      <c r="AE1022" s="23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</row>
    <row r="1023" spans="1:84" s="2" customFormat="1" x14ac:dyDescent="0.2">
      <c r="A1023" s="17" t="s">
        <v>3921</v>
      </c>
      <c r="B1023" s="17" t="s">
        <v>45</v>
      </c>
      <c r="C1023" s="17">
        <v>2025</v>
      </c>
      <c r="D1023" s="17" t="str">
        <f t="array" ref="D1023">_xlfn.SWITCH(E1023,"Jatikalen","35.18.20","Kertosono", "35.18.08","Lengkong","35.18.19","Loceret","35.18.04","Tanjunganom","35.18.11","Wilangan","35.18.15")</f>
        <v>35.18.08</v>
      </c>
      <c r="E1023" s="16" t="s">
        <v>128</v>
      </c>
      <c r="F1023" s="33" t="s">
        <v>2377</v>
      </c>
      <c r="G1023" s="33" t="s">
        <v>2402</v>
      </c>
      <c r="H1023" s="16" t="s">
        <v>31</v>
      </c>
      <c r="I1023" s="16">
        <v>1</v>
      </c>
      <c r="J1023" s="16">
        <v>0</v>
      </c>
      <c r="K1023" s="16">
        <f t="shared" si="17"/>
        <v>1</v>
      </c>
      <c r="L1023" s="38">
        <v>2000000</v>
      </c>
      <c r="M1023" s="33" t="s">
        <v>1120</v>
      </c>
      <c r="N1023" s="67">
        <v>5040</v>
      </c>
      <c r="O1023" s="16" t="s">
        <v>422</v>
      </c>
      <c r="P1023" s="70">
        <v>50400000</v>
      </c>
      <c r="Q1023" s="33" t="s">
        <v>1642</v>
      </c>
      <c r="R1023" s="67">
        <v>5040</v>
      </c>
      <c r="S1023" s="16" t="s">
        <v>422</v>
      </c>
      <c r="T1023" s="67">
        <v>36808000</v>
      </c>
      <c r="U1023" s="16" t="s">
        <v>22</v>
      </c>
      <c r="V1023" s="16"/>
      <c r="W1023" s="16"/>
      <c r="X1023" s="16"/>
      <c r="Y1023" s="16">
        <v>65</v>
      </c>
      <c r="Z1023" s="16">
        <v>35</v>
      </c>
      <c r="AA1023" s="16">
        <v>0</v>
      </c>
      <c r="AB1023" s="16">
        <v>0</v>
      </c>
      <c r="AC1023" s="75"/>
      <c r="AD1023" s="68"/>
      <c r="AE1023" s="23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</row>
    <row r="1024" spans="1:84" s="2" customFormat="1" x14ac:dyDescent="0.2">
      <c r="A1024" s="17" t="s">
        <v>3921</v>
      </c>
      <c r="B1024" s="17" t="s">
        <v>45</v>
      </c>
      <c r="C1024" s="17">
        <v>2025</v>
      </c>
      <c r="D1024" s="17" t="str">
        <f t="array" ref="D1024">_xlfn.SWITCH(E1024,"Jatikalen","35.18.20","Kertosono", "35.18.08","Lengkong","35.18.19","Loceret","35.18.04","Tanjunganom","35.18.11","Wilangan","35.18.15")</f>
        <v>35.18.08</v>
      </c>
      <c r="E1024" s="16" t="s">
        <v>128</v>
      </c>
      <c r="F1024" s="33" t="s">
        <v>2377</v>
      </c>
      <c r="G1024" s="33" t="s">
        <v>2403</v>
      </c>
      <c r="H1024" s="16" t="s">
        <v>31</v>
      </c>
      <c r="I1024" s="16">
        <v>1</v>
      </c>
      <c r="J1024" s="16">
        <v>0</v>
      </c>
      <c r="K1024" s="16">
        <f t="shared" si="17"/>
        <v>1</v>
      </c>
      <c r="L1024" s="38">
        <v>1500000</v>
      </c>
      <c r="M1024" s="33" t="s">
        <v>1120</v>
      </c>
      <c r="N1024" s="67">
        <v>3360</v>
      </c>
      <c r="O1024" s="16" t="s">
        <v>422</v>
      </c>
      <c r="P1024" s="70">
        <v>40320000</v>
      </c>
      <c r="Q1024" s="33" t="s">
        <v>1642</v>
      </c>
      <c r="R1024" s="67">
        <v>3360</v>
      </c>
      <c r="S1024" s="16" t="s">
        <v>422</v>
      </c>
      <c r="T1024" s="67">
        <v>25872000</v>
      </c>
      <c r="U1024" s="16" t="s">
        <v>22</v>
      </c>
      <c r="V1024" s="16"/>
      <c r="W1024" s="16"/>
      <c r="X1024" s="16"/>
      <c r="Y1024" s="16">
        <v>40</v>
      </c>
      <c r="Z1024" s="16">
        <v>30</v>
      </c>
      <c r="AA1024" s="16">
        <v>30</v>
      </c>
      <c r="AB1024" s="16">
        <v>0</v>
      </c>
      <c r="AC1024" s="75"/>
      <c r="AD1024" s="68"/>
      <c r="AE1024" s="23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</row>
    <row r="1025" spans="1:84" s="2" customFormat="1" x14ac:dyDescent="0.2">
      <c r="A1025" s="17" t="s">
        <v>3921</v>
      </c>
      <c r="B1025" s="17" t="s">
        <v>45</v>
      </c>
      <c r="C1025" s="17">
        <v>2025</v>
      </c>
      <c r="D1025" s="17" t="str">
        <f t="array" ref="D1025">_xlfn.SWITCH(E1025,"Jatikalen","35.18.20","Kertosono", "35.18.08","Lengkong","35.18.19","Loceret","35.18.04","Tanjunganom","35.18.11","Wilangan","35.18.15")</f>
        <v>35.18.08</v>
      </c>
      <c r="E1025" s="16" t="s">
        <v>128</v>
      </c>
      <c r="F1025" s="33" t="s">
        <v>2377</v>
      </c>
      <c r="G1025" s="33" t="s">
        <v>2404</v>
      </c>
      <c r="H1025" s="16" t="s">
        <v>31</v>
      </c>
      <c r="I1025" s="16">
        <v>1</v>
      </c>
      <c r="J1025" s="16">
        <v>0</v>
      </c>
      <c r="K1025" s="16">
        <f t="shared" si="17"/>
        <v>1</v>
      </c>
      <c r="L1025" s="38">
        <v>1500000</v>
      </c>
      <c r="M1025" s="33" t="s">
        <v>1120</v>
      </c>
      <c r="N1025" s="67">
        <v>3360</v>
      </c>
      <c r="O1025" s="16" t="s">
        <v>422</v>
      </c>
      <c r="P1025" s="70">
        <v>40320000</v>
      </c>
      <c r="Q1025" s="33" t="s">
        <v>1642</v>
      </c>
      <c r="R1025" s="67">
        <v>3360</v>
      </c>
      <c r="S1025" s="16" t="s">
        <v>422</v>
      </c>
      <c r="T1025" s="67">
        <v>25872000</v>
      </c>
      <c r="U1025" s="16" t="s">
        <v>22</v>
      </c>
      <c r="V1025" s="16"/>
      <c r="W1025" s="16"/>
      <c r="X1025" s="16"/>
      <c r="Y1025" s="16">
        <v>35</v>
      </c>
      <c r="Z1025" s="16">
        <v>40</v>
      </c>
      <c r="AA1025" s="16">
        <v>25</v>
      </c>
      <c r="AB1025" s="16">
        <v>0</v>
      </c>
      <c r="AC1025" s="75"/>
      <c r="AD1025" s="68"/>
      <c r="AE1025" s="23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</row>
    <row r="1026" spans="1:84" s="2" customFormat="1" x14ac:dyDescent="0.2">
      <c r="A1026" s="17" t="s">
        <v>3921</v>
      </c>
      <c r="B1026" s="17" t="s">
        <v>45</v>
      </c>
      <c r="C1026" s="17">
        <v>2025</v>
      </c>
      <c r="D1026" s="17" t="str">
        <f t="array" ref="D1026">_xlfn.SWITCH(E1026,"Jatikalen","35.18.20","Kertosono", "35.18.08","Lengkong","35.18.19","Loceret","35.18.04","Tanjunganom","35.18.11","Wilangan","35.18.15")</f>
        <v>35.18.08</v>
      </c>
      <c r="E1026" s="16" t="s">
        <v>128</v>
      </c>
      <c r="F1026" s="33" t="s">
        <v>2377</v>
      </c>
      <c r="G1026" s="33" t="s">
        <v>2384</v>
      </c>
      <c r="H1026" s="16" t="s">
        <v>31</v>
      </c>
      <c r="I1026" s="16">
        <v>1</v>
      </c>
      <c r="J1026" s="16">
        <v>0</v>
      </c>
      <c r="K1026" s="16">
        <f t="shared" ref="K1026:K1089" si="18">I1026+J1026</f>
        <v>1</v>
      </c>
      <c r="L1026" s="38">
        <v>1500000</v>
      </c>
      <c r="M1026" s="33" t="s">
        <v>1120</v>
      </c>
      <c r="N1026" s="67">
        <v>4032</v>
      </c>
      <c r="O1026" s="16" t="s">
        <v>422</v>
      </c>
      <c r="P1026" s="70">
        <v>48384000</v>
      </c>
      <c r="Q1026" s="33" t="s">
        <v>1642</v>
      </c>
      <c r="R1026" s="67">
        <v>4032</v>
      </c>
      <c r="S1026" s="16" t="s">
        <v>422</v>
      </c>
      <c r="T1026" s="67">
        <v>31046400</v>
      </c>
      <c r="U1026" s="16" t="s">
        <v>22</v>
      </c>
      <c r="V1026" s="16"/>
      <c r="W1026" s="16"/>
      <c r="X1026" s="16"/>
      <c r="Y1026" s="16">
        <v>50</v>
      </c>
      <c r="Z1026" s="16">
        <v>40</v>
      </c>
      <c r="AA1026" s="16">
        <v>10</v>
      </c>
      <c r="AB1026" s="16">
        <v>0</v>
      </c>
      <c r="AC1026" s="75"/>
      <c r="AD1026" s="68"/>
      <c r="AE1026" s="23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</row>
    <row r="1027" spans="1:84" s="2" customFormat="1" x14ac:dyDescent="0.2">
      <c r="A1027" s="17" t="s">
        <v>3921</v>
      </c>
      <c r="B1027" s="17" t="s">
        <v>45</v>
      </c>
      <c r="C1027" s="17">
        <v>2025</v>
      </c>
      <c r="D1027" s="17" t="str">
        <f t="array" ref="D1027">_xlfn.SWITCH(E1027,"Jatikalen","35.18.20","Kertosono", "35.18.08","Lengkong","35.18.19","Loceret","35.18.04","Tanjunganom","35.18.11","Wilangan","35.18.15")</f>
        <v>35.18.08</v>
      </c>
      <c r="E1027" s="16" t="s">
        <v>128</v>
      </c>
      <c r="F1027" s="33" t="s">
        <v>2377</v>
      </c>
      <c r="G1027" s="33" t="s">
        <v>2405</v>
      </c>
      <c r="H1027" s="16" t="s">
        <v>31</v>
      </c>
      <c r="I1027" s="16">
        <v>1</v>
      </c>
      <c r="J1027" s="16">
        <v>0</v>
      </c>
      <c r="K1027" s="16">
        <f t="shared" si="18"/>
        <v>1</v>
      </c>
      <c r="L1027" s="38">
        <v>1500000</v>
      </c>
      <c r="M1027" s="33" t="s">
        <v>1120</v>
      </c>
      <c r="N1027" s="67">
        <v>4032</v>
      </c>
      <c r="O1027" s="16" t="s">
        <v>422</v>
      </c>
      <c r="P1027" s="70">
        <v>48384000</v>
      </c>
      <c r="Q1027" s="33" t="s">
        <v>1642</v>
      </c>
      <c r="R1027" s="67">
        <v>4032</v>
      </c>
      <c r="S1027" s="16" t="s">
        <v>422</v>
      </c>
      <c r="T1027" s="67">
        <v>31046400</v>
      </c>
      <c r="U1027" s="16" t="s">
        <v>22</v>
      </c>
      <c r="V1027" s="16"/>
      <c r="W1027" s="16"/>
      <c r="X1027" s="16"/>
      <c r="Y1027" s="16">
        <v>40</v>
      </c>
      <c r="Z1027" s="16">
        <v>30</v>
      </c>
      <c r="AA1027" s="16">
        <v>30</v>
      </c>
      <c r="AB1027" s="16">
        <v>0</v>
      </c>
      <c r="AC1027" s="75"/>
      <c r="AD1027" s="68"/>
      <c r="AE1027" s="23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</row>
    <row r="1028" spans="1:84" s="2" customFormat="1" x14ac:dyDescent="0.2">
      <c r="A1028" s="17" t="s">
        <v>3921</v>
      </c>
      <c r="B1028" s="17" t="s">
        <v>45</v>
      </c>
      <c r="C1028" s="17">
        <v>2025</v>
      </c>
      <c r="D1028" s="17" t="str">
        <f t="array" ref="D1028">_xlfn.SWITCH(E1028,"Jatikalen","35.18.20","Kertosono", "35.18.08","Lengkong","35.18.19","Loceret","35.18.04","Tanjunganom","35.18.11","Wilangan","35.18.15")</f>
        <v>35.18.08</v>
      </c>
      <c r="E1028" s="16" t="s">
        <v>128</v>
      </c>
      <c r="F1028" s="33" t="s">
        <v>2377</v>
      </c>
      <c r="G1028" s="33" t="s">
        <v>2406</v>
      </c>
      <c r="H1028" s="16" t="s">
        <v>31</v>
      </c>
      <c r="I1028" s="16">
        <v>1</v>
      </c>
      <c r="J1028" s="16">
        <v>0</v>
      </c>
      <c r="K1028" s="16">
        <f t="shared" si="18"/>
        <v>1</v>
      </c>
      <c r="L1028" s="38">
        <v>1500000</v>
      </c>
      <c r="M1028" s="33" t="s">
        <v>1120</v>
      </c>
      <c r="N1028" s="67">
        <v>3360</v>
      </c>
      <c r="O1028" s="16" t="s">
        <v>422</v>
      </c>
      <c r="P1028" s="70">
        <v>40320000</v>
      </c>
      <c r="Q1028" s="33" t="s">
        <v>1642</v>
      </c>
      <c r="R1028" s="67">
        <v>3360</v>
      </c>
      <c r="S1028" s="16" t="s">
        <v>422</v>
      </c>
      <c r="T1028" s="67">
        <v>25872000</v>
      </c>
      <c r="U1028" s="16" t="s">
        <v>22</v>
      </c>
      <c r="V1028" s="16"/>
      <c r="W1028" s="16"/>
      <c r="X1028" s="16"/>
      <c r="Y1028" s="16">
        <v>50</v>
      </c>
      <c r="Z1028" s="16">
        <v>30</v>
      </c>
      <c r="AA1028" s="16">
        <v>20</v>
      </c>
      <c r="AB1028" s="16">
        <v>0</v>
      </c>
      <c r="AC1028" s="75"/>
      <c r="AD1028" s="68"/>
      <c r="AE1028" s="23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</row>
    <row r="1029" spans="1:84" s="2" customFormat="1" x14ac:dyDescent="0.2">
      <c r="A1029" s="17" t="s">
        <v>3921</v>
      </c>
      <c r="B1029" s="17" t="s">
        <v>45</v>
      </c>
      <c r="C1029" s="17">
        <v>2025</v>
      </c>
      <c r="D1029" s="17" t="str">
        <f t="array" ref="D1029">_xlfn.SWITCH(E1029,"Jatikalen","35.18.20","Kertosono", "35.18.08","Lengkong","35.18.19","Loceret","35.18.04","Tanjunganom","35.18.11","Wilangan","35.18.15")</f>
        <v>35.18.19</v>
      </c>
      <c r="E1029" s="16" t="s">
        <v>64</v>
      </c>
      <c r="F1029" s="33" t="s">
        <v>2371</v>
      </c>
      <c r="G1029" s="33" t="s">
        <v>2389</v>
      </c>
      <c r="H1029" s="16" t="s">
        <v>31</v>
      </c>
      <c r="I1029" s="16">
        <v>3</v>
      </c>
      <c r="J1029" s="16">
        <v>0</v>
      </c>
      <c r="K1029" s="16">
        <f t="shared" si="18"/>
        <v>3</v>
      </c>
      <c r="L1029" s="38">
        <v>20000000</v>
      </c>
      <c r="M1029" s="33" t="s">
        <v>2037</v>
      </c>
      <c r="N1029" s="67">
        <v>4320</v>
      </c>
      <c r="O1029" s="16" t="s">
        <v>1130</v>
      </c>
      <c r="P1029" s="70">
        <v>172000000</v>
      </c>
      <c r="Q1029" s="33" t="s">
        <v>2151</v>
      </c>
      <c r="R1029" s="67">
        <v>3480</v>
      </c>
      <c r="S1029" s="16" t="s">
        <v>422</v>
      </c>
      <c r="T1029" s="67">
        <v>39900000</v>
      </c>
      <c r="U1029" s="16" t="s">
        <v>22</v>
      </c>
      <c r="V1029" s="16"/>
      <c r="W1029" s="16"/>
      <c r="X1029" s="16"/>
      <c r="Y1029" s="16">
        <v>45</v>
      </c>
      <c r="Z1029" s="16">
        <v>30</v>
      </c>
      <c r="AA1029" s="16">
        <v>25</v>
      </c>
      <c r="AB1029" s="16">
        <v>0</v>
      </c>
      <c r="AC1029" s="16"/>
      <c r="AD1029" s="68"/>
      <c r="AE1029" s="23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</row>
    <row r="1030" spans="1:84" s="2" customFormat="1" x14ac:dyDescent="0.2">
      <c r="A1030" s="17" t="s">
        <v>3921</v>
      </c>
      <c r="B1030" s="17" t="s">
        <v>45</v>
      </c>
      <c r="C1030" s="17">
        <v>2025</v>
      </c>
      <c r="D1030" s="17" t="str">
        <f t="array" ref="D1030">_xlfn.SWITCH(E1030,"Bagor","35.18.14","Sukomoro",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0" s="16" t="s">
        <v>162</v>
      </c>
      <c r="F1030" s="33" t="s">
        <v>2407</v>
      </c>
      <c r="G1030" s="33" t="s">
        <v>2408</v>
      </c>
      <c r="H1030" s="16" t="s">
        <v>31</v>
      </c>
      <c r="I1030" s="16">
        <v>2</v>
      </c>
      <c r="J1030" s="16">
        <v>0</v>
      </c>
      <c r="K1030" s="16">
        <f t="shared" si="18"/>
        <v>2</v>
      </c>
      <c r="L1030" s="38">
        <v>2000000</v>
      </c>
      <c r="M1030" s="33" t="s">
        <v>2409</v>
      </c>
      <c r="N1030" s="67">
        <v>12000</v>
      </c>
      <c r="O1030" s="16" t="s">
        <v>1130</v>
      </c>
      <c r="P1030" s="70">
        <v>72000000</v>
      </c>
      <c r="Q1030" s="33" t="s">
        <v>2410</v>
      </c>
      <c r="R1030" s="38" t="s">
        <v>2411</v>
      </c>
      <c r="S1030" s="16" t="s">
        <v>2412</v>
      </c>
      <c r="T1030" s="67">
        <v>35496000</v>
      </c>
      <c r="U1030" s="16" t="s">
        <v>22</v>
      </c>
      <c r="V1030" s="16"/>
      <c r="W1030" s="16"/>
      <c r="X1030" s="16"/>
      <c r="Y1030" s="16">
        <v>40</v>
      </c>
      <c r="Z1030" s="16">
        <v>40</v>
      </c>
      <c r="AA1030" s="16">
        <v>20</v>
      </c>
      <c r="AB1030" s="16">
        <v>0</v>
      </c>
      <c r="AC1030" s="16"/>
      <c r="AD1030" s="68"/>
      <c r="AE1030" s="23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</row>
    <row r="1031" spans="1:84" s="2" customFormat="1" x14ac:dyDescent="0.2">
      <c r="A1031" s="17" t="s">
        <v>3921</v>
      </c>
      <c r="B1031" s="17" t="s">
        <v>45</v>
      </c>
      <c r="C1031" s="17">
        <v>2025</v>
      </c>
      <c r="D1031" s="17" t="str">
        <f t="array" ref="D1031">_xlfn.SWITCH(E1031,"Bagor","35.18.14","Sukomoro",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1" s="16" t="s">
        <v>162</v>
      </c>
      <c r="F1031" s="33" t="s">
        <v>2407</v>
      </c>
      <c r="G1031" s="33" t="s">
        <v>2413</v>
      </c>
      <c r="H1031" s="16" t="s">
        <v>31</v>
      </c>
      <c r="I1031" s="16">
        <v>2</v>
      </c>
      <c r="J1031" s="16">
        <v>5</v>
      </c>
      <c r="K1031" s="16">
        <f t="shared" si="18"/>
        <v>7</v>
      </c>
      <c r="L1031" s="38">
        <v>5000000</v>
      </c>
      <c r="M1031" s="33" t="s">
        <v>2409</v>
      </c>
      <c r="N1031" s="67">
        <v>36000</v>
      </c>
      <c r="O1031" s="16" t="s">
        <v>1130</v>
      </c>
      <c r="P1031" s="70">
        <v>216000000</v>
      </c>
      <c r="Q1031" s="33" t="s">
        <v>2410</v>
      </c>
      <c r="R1031" s="38" t="s">
        <v>2414</v>
      </c>
      <c r="S1031" s="16" t="s">
        <v>2412</v>
      </c>
      <c r="T1031" s="67">
        <v>106488000</v>
      </c>
      <c r="U1031" s="16" t="s">
        <v>22</v>
      </c>
      <c r="V1031" s="16"/>
      <c r="W1031" s="16"/>
      <c r="X1031" s="16"/>
      <c r="Y1031" s="16">
        <v>60</v>
      </c>
      <c r="Z1031" s="16">
        <v>40</v>
      </c>
      <c r="AA1031" s="16">
        <v>0</v>
      </c>
      <c r="AB1031" s="16">
        <v>0</v>
      </c>
      <c r="AC1031" s="16"/>
      <c r="AD1031" s="68"/>
      <c r="AE1031" s="23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</row>
    <row r="1032" spans="1:84" s="2" customFormat="1" x14ac:dyDescent="0.2">
      <c r="A1032" s="17" t="s">
        <v>3921</v>
      </c>
      <c r="B1032" s="17" t="s">
        <v>45</v>
      </c>
      <c r="C1032" s="17">
        <v>2025</v>
      </c>
      <c r="D1032" s="17" t="str">
        <f t="array" ref="D1032">_xlfn.SWITCH(E1032,"Bagor","35.18.14","Sukomoro",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2" s="16" t="s">
        <v>162</v>
      </c>
      <c r="F1032" s="33" t="s">
        <v>2407</v>
      </c>
      <c r="G1032" s="33" t="s">
        <v>2415</v>
      </c>
      <c r="H1032" s="16" t="s">
        <v>31</v>
      </c>
      <c r="I1032" s="16">
        <v>4</v>
      </c>
      <c r="J1032" s="16">
        <v>11</v>
      </c>
      <c r="K1032" s="16">
        <f t="shared" si="18"/>
        <v>15</v>
      </c>
      <c r="L1032" s="38">
        <v>10000000</v>
      </c>
      <c r="M1032" s="33" t="s">
        <v>2409</v>
      </c>
      <c r="N1032" s="67">
        <v>72000</v>
      </c>
      <c r="O1032" s="16" t="s">
        <v>1130</v>
      </c>
      <c r="P1032" s="70">
        <v>550000000</v>
      </c>
      <c r="Q1032" s="33" t="s">
        <v>2410</v>
      </c>
      <c r="R1032" s="38" t="s">
        <v>2416</v>
      </c>
      <c r="S1032" s="16" t="s">
        <v>2412</v>
      </c>
      <c r="T1032" s="67">
        <v>212976000</v>
      </c>
      <c r="U1032" s="16" t="s">
        <v>22</v>
      </c>
      <c r="V1032" s="16"/>
      <c r="W1032" s="16"/>
      <c r="X1032" s="16"/>
      <c r="Y1032" s="16">
        <v>40</v>
      </c>
      <c r="Z1032" s="16">
        <v>30</v>
      </c>
      <c r="AA1032" s="16">
        <v>30</v>
      </c>
      <c r="AB1032" s="16">
        <v>0</v>
      </c>
      <c r="AC1032" s="16"/>
      <c r="AD1032" s="68"/>
      <c r="AE1032" s="23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</row>
    <row r="1033" spans="1:84" s="2" customFormat="1" x14ac:dyDescent="0.2">
      <c r="A1033" s="17" t="s">
        <v>3921</v>
      </c>
      <c r="B1033" s="17" t="s">
        <v>45</v>
      </c>
      <c r="C1033" s="17">
        <v>2025</v>
      </c>
      <c r="D1033" s="17" t="str">
        <f t="array" ref="D1033">_xlfn.SWITCH(E1033,"Bagor","35.18.14","Sukomoro",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3" s="16" t="s">
        <v>162</v>
      </c>
      <c r="F1033" s="33" t="s">
        <v>2407</v>
      </c>
      <c r="G1033" s="33" t="s">
        <v>2417</v>
      </c>
      <c r="H1033" s="16" t="s">
        <v>31</v>
      </c>
      <c r="I1033" s="16">
        <v>3</v>
      </c>
      <c r="J1033" s="16">
        <v>10</v>
      </c>
      <c r="K1033" s="16">
        <f t="shared" si="18"/>
        <v>13</v>
      </c>
      <c r="L1033" s="38">
        <v>6000000</v>
      </c>
      <c r="M1033" s="33" t="s">
        <v>2409</v>
      </c>
      <c r="N1033" s="67">
        <v>55000</v>
      </c>
      <c r="O1033" s="16" t="s">
        <v>1130</v>
      </c>
      <c r="P1033" s="70">
        <v>420000000</v>
      </c>
      <c r="Q1033" s="33" t="s">
        <v>2410</v>
      </c>
      <c r="R1033" s="38" t="s">
        <v>2418</v>
      </c>
      <c r="S1033" s="16" t="s">
        <v>2412</v>
      </c>
      <c r="T1033" s="67">
        <v>141984000</v>
      </c>
      <c r="U1033" s="16" t="s">
        <v>22</v>
      </c>
      <c r="V1033" s="16"/>
      <c r="W1033" s="16"/>
      <c r="X1033" s="16"/>
      <c r="Y1033" s="16">
        <v>65</v>
      </c>
      <c r="Z1033" s="16">
        <v>35</v>
      </c>
      <c r="AA1033" s="16">
        <v>0</v>
      </c>
      <c r="AB1033" s="16">
        <v>0</v>
      </c>
      <c r="AC1033" s="16"/>
      <c r="AD1033" s="68"/>
      <c r="AE1033" s="23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</row>
    <row r="1034" spans="1:84" s="2" customFormat="1" x14ac:dyDescent="0.2">
      <c r="A1034" s="17" t="s">
        <v>3921</v>
      </c>
      <c r="B1034" s="17" t="s">
        <v>45</v>
      </c>
      <c r="C1034" s="17">
        <v>2025</v>
      </c>
      <c r="D1034" s="17" t="str">
        <f t="array" ref="D1034">_xlfn.SWITCH(E1034,"Bagor","35.18.14","Sukomoro",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4" s="16" t="s">
        <v>162</v>
      </c>
      <c r="F1034" s="33" t="s">
        <v>2407</v>
      </c>
      <c r="G1034" s="33" t="s">
        <v>2419</v>
      </c>
      <c r="H1034" s="16" t="s">
        <v>31</v>
      </c>
      <c r="I1034" s="16">
        <v>2</v>
      </c>
      <c r="J1034" s="16">
        <v>2</v>
      </c>
      <c r="K1034" s="16">
        <f t="shared" si="18"/>
        <v>4</v>
      </c>
      <c r="L1034" s="38">
        <v>2000000</v>
      </c>
      <c r="M1034" s="33" t="s">
        <v>2409</v>
      </c>
      <c r="N1034" s="79">
        <v>24000</v>
      </c>
      <c r="O1034" s="16" t="s">
        <v>1130</v>
      </c>
      <c r="P1034" s="70">
        <v>144000000</v>
      </c>
      <c r="Q1034" s="33" t="s">
        <v>2410</v>
      </c>
      <c r="R1034" s="38" t="s">
        <v>2420</v>
      </c>
      <c r="S1034" s="16" t="s">
        <v>2412</v>
      </c>
      <c r="T1034" s="67">
        <v>70792000</v>
      </c>
      <c r="U1034" s="16" t="s">
        <v>22</v>
      </c>
      <c r="V1034" s="16"/>
      <c r="W1034" s="16"/>
      <c r="X1034" s="16"/>
      <c r="Y1034" s="16">
        <v>60</v>
      </c>
      <c r="Z1034" s="16">
        <v>40</v>
      </c>
      <c r="AA1034" s="16">
        <v>0</v>
      </c>
      <c r="AB1034" s="16">
        <v>0</v>
      </c>
      <c r="AC1034" s="16"/>
      <c r="AD1034" s="68"/>
      <c r="AE1034" s="23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</row>
    <row r="1035" spans="1:84" s="2" customFormat="1" x14ac:dyDescent="0.2">
      <c r="A1035" s="17" t="s">
        <v>3921</v>
      </c>
      <c r="B1035" s="17" t="s">
        <v>45</v>
      </c>
      <c r="C1035" s="17">
        <v>2025</v>
      </c>
      <c r="D1035" s="17" t="str">
        <f t="array" ref="D1035">_xlfn.SWITCH(E1035,"Bagor","35.18.14","Sukomoro",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5" s="16" t="s">
        <v>162</v>
      </c>
      <c r="F1035" s="33" t="s">
        <v>2407</v>
      </c>
      <c r="G1035" s="33" t="s">
        <v>2421</v>
      </c>
      <c r="H1035" s="16" t="s">
        <v>31</v>
      </c>
      <c r="I1035" s="16">
        <v>4</v>
      </c>
      <c r="J1035" s="16">
        <v>4</v>
      </c>
      <c r="K1035" s="16">
        <f t="shared" si="18"/>
        <v>8</v>
      </c>
      <c r="L1035" s="38">
        <v>10000000</v>
      </c>
      <c r="M1035" s="33" t="s">
        <v>2409</v>
      </c>
      <c r="N1035" s="67">
        <v>40000</v>
      </c>
      <c r="O1035" s="16" t="s">
        <v>1130</v>
      </c>
      <c r="P1035" s="70">
        <v>380000000</v>
      </c>
      <c r="Q1035" s="33" t="s">
        <v>2410</v>
      </c>
      <c r="R1035" s="38" t="s">
        <v>2422</v>
      </c>
      <c r="S1035" s="16" t="s">
        <v>2412</v>
      </c>
      <c r="T1035" s="67">
        <v>88896000</v>
      </c>
      <c r="U1035" s="16" t="s">
        <v>22</v>
      </c>
      <c r="V1035" s="16"/>
      <c r="W1035" s="16"/>
      <c r="X1035" s="16"/>
      <c r="Y1035" s="16">
        <v>70</v>
      </c>
      <c r="Z1035" s="16">
        <v>30</v>
      </c>
      <c r="AA1035" s="16">
        <v>0</v>
      </c>
      <c r="AB1035" s="16">
        <v>0</v>
      </c>
      <c r="AC1035" s="16"/>
      <c r="AD1035" s="68"/>
      <c r="AE1035" s="23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</row>
    <row r="1036" spans="1:84" s="2" customFormat="1" x14ac:dyDescent="0.2">
      <c r="A1036" s="17" t="s">
        <v>3921</v>
      </c>
      <c r="B1036" s="17" t="s">
        <v>45</v>
      </c>
      <c r="C1036" s="17">
        <v>2025</v>
      </c>
      <c r="D1036" s="17" t="str">
        <f t="array" ref="D1036">_xlfn.SWITCH(E1036,"Bagor","35.18.14","Sukomoro",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36" s="16" t="s">
        <v>157</v>
      </c>
      <c r="F1036" s="33" t="s">
        <v>2423</v>
      </c>
      <c r="G1036" s="33" t="s">
        <v>2424</v>
      </c>
      <c r="H1036" s="16" t="s">
        <v>31</v>
      </c>
      <c r="I1036" s="16">
        <v>4</v>
      </c>
      <c r="J1036" s="16">
        <v>0</v>
      </c>
      <c r="K1036" s="16">
        <f t="shared" si="18"/>
        <v>4</v>
      </c>
      <c r="L1036" s="38">
        <v>75000000</v>
      </c>
      <c r="M1036" s="17" t="s">
        <v>1518</v>
      </c>
      <c r="N1036" s="67">
        <v>48</v>
      </c>
      <c r="O1036" s="16" t="s">
        <v>1459</v>
      </c>
      <c r="P1036" s="70">
        <v>144000000</v>
      </c>
      <c r="Q1036" s="33" t="s">
        <v>50</v>
      </c>
      <c r="R1036" s="78">
        <v>65</v>
      </c>
      <c r="S1036" s="16" t="s">
        <v>69</v>
      </c>
      <c r="T1036" s="67">
        <v>72000000</v>
      </c>
      <c r="U1036" s="16" t="s">
        <v>22</v>
      </c>
      <c r="V1036" s="16"/>
      <c r="W1036" s="16"/>
      <c r="X1036" s="16"/>
      <c r="Y1036" s="16">
        <v>35</v>
      </c>
      <c r="Z1036" s="16">
        <v>40</v>
      </c>
      <c r="AA1036" s="16">
        <v>25</v>
      </c>
      <c r="AB1036" s="16">
        <v>0</v>
      </c>
      <c r="AC1036" s="16" t="s">
        <v>2425</v>
      </c>
      <c r="AD1036" s="68"/>
      <c r="AE1036" s="23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</row>
    <row r="1037" spans="1:84" s="2" customFormat="1" x14ac:dyDescent="0.2">
      <c r="A1037" s="17" t="s">
        <v>3921</v>
      </c>
      <c r="B1037" s="17" t="s">
        <v>45</v>
      </c>
      <c r="C1037" s="17">
        <v>2025</v>
      </c>
      <c r="D1037" s="17" t="str">
        <f t="array" ref="D1037">_xlfn.SWITCH(E1037,"Bagor","35.18.14","Sukomoro",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37" s="16" t="s">
        <v>157</v>
      </c>
      <c r="F1037" s="33" t="s">
        <v>2426</v>
      </c>
      <c r="G1037" s="33" t="s">
        <v>2427</v>
      </c>
      <c r="H1037" s="16" t="s">
        <v>31</v>
      </c>
      <c r="I1037" s="16">
        <v>2</v>
      </c>
      <c r="J1037" s="16">
        <v>5</v>
      </c>
      <c r="K1037" s="16">
        <f t="shared" si="18"/>
        <v>7</v>
      </c>
      <c r="L1037" s="38">
        <v>20000000</v>
      </c>
      <c r="M1037" s="33" t="s">
        <v>2428</v>
      </c>
      <c r="N1037" s="67">
        <v>1680</v>
      </c>
      <c r="O1037" s="16" t="s">
        <v>422</v>
      </c>
      <c r="P1037" s="70">
        <v>1008000000</v>
      </c>
      <c r="Q1037" s="33" t="s">
        <v>1553</v>
      </c>
      <c r="R1037" s="78">
        <v>33600</v>
      </c>
      <c r="S1037" s="16" t="s">
        <v>422</v>
      </c>
      <c r="T1037" s="67">
        <v>840000000</v>
      </c>
      <c r="U1037" s="16" t="s">
        <v>22</v>
      </c>
      <c r="V1037" s="16"/>
      <c r="W1037" s="16"/>
      <c r="X1037" s="16"/>
      <c r="Y1037" s="16">
        <v>30</v>
      </c>
      <c r="Z1037" s="16">
        <v>30</v>
      </c>
      <c r="AA1037" s="16">
        <v>40</v>
      </c>
      <c r="AB1037" s="16">
        <v>0</v>
      </c>
      <c r="AC1037" s="16"/>
      <c r="AD1037" s="68"/>
      <c r="AE1037" s="23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</row>
    <row r="1038" spans="1:84" s="2" customFormat="1" x14ac:dyDescent="0.2">
      <c r="A1038" s="17" t="s">
        <v>3921</v>
      </c>
      <c r="B1038" s="17" t="s">
        <v>45</v>
      </c>
      <c r="C1038" s="17">
        <v>2025</v>
      </c>
      <c r="D1038" s="17" t="str">
        <f t="array" ref="D1038">_xlfn.SWITCH(E1038,"Bagor","35.18.14","Sukomoro",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38" s="16" t="s">
        <v>157</v>
      </c>
      <c r="F1038" s="33" t="s">
        <v>2429</v>
      </c>
      <c r="G1038" s="33" t="s">
        <v>2430</v>
      </c>
      <c r="H1038" s="16" t="s">
        <v>31</v>
      </c>
      <c r="I1038" s="16">
        <v>13</v>
      </c>
      <c r="J1038" s="16">
        <v>2</v>
      </c>
      <c r="K1038" s="16">
        <f t="shared" si="18"/>
        <v>15</v>
      </c>
      <c r="L1038" s="38">
        <v>30000000</v>
      </c>
      <c r="M1038" s="33" t="s">
        <v>258</v>
      </c>
      <c r="N1038" s="67">
        <v>14400</v>
      </c>
      <c r="O1038" s="16" t="s">
        <v>1803</v>
      </c>
      <c r="P1038" s="70">
        <v>259200000</v>
      </c>
      <c r="Q1038" s="33" t="s">
        <v>1958</v>
      </c>
      <c r="R1038" s="78">
        <v>90000</v>
      </c>
      <c r="S1038" s="16" t="s">
        <v>1130</v>
      </c>
      <c r="T1038" s="67">
        <v>151200000</v>
      </c>
      <c r="U1038" s="16" t="s">
        <v>22</v>
      </c>
      <c r="V1038" s="16"/>
      <c r="W1038" s="16"/>
      <c r="X1038" s="16"/>
      <c r="Y1038" s="16">
        <v>60</v>
      </c>
      <c r="Z1038" s="16">
        <v>40</v>
      </c>
      <c r="AA1038" s="16">
        <v>0</v>
      </c>
      <c r="AB1038" s="16">
        <v>0</v>
      </c>
      <c r="AC1038" s="16" t="s">
        <v>2431</v>
      </c>
      <c r="AD1038" s="68"/>
      <c r="AE1038" s="23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</row>
    <row r="1039" spans="1:84" s="2" customFormat="1" x14ac:dyDescent="0.2">
      <c r="A1039" s="17" t="s">
        <v>3921</v>
      </c>
      <c r="B1039" s="17" t="s">
        <v>45</v>
      </c>
      <c r="C1039" s="17">
        <v>2025</v>
      </c>
      <c r="D1039" s="17" t="str">
        <f t="array" ref="D1039">_xlfn.SWITCH(E1039,"Bagor","35.18.14","Sukomoro",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39" s="16" t="s">
        <v>157</v>
      </c>
      <c r="F1039" s="33" t="s">
        <v>2432</v>
      </c>
      <c r="G1039" s="33" t="s">
        <v>2433</v>
      </c>
      <c r="H1039" s="16" t="s">
        <v>31</v>
      </c>
      <c r="I1039" s="16">
        <v>3</v>
      </c>
      <c r="J1039" s="16">
        <v>3</v>
      </c>
      <c r="K1039" s="16">
        <f t="shared" si="18"/>
        <v>6</v>
      </c>
      <c r="L1039" s="38">
        <v>5000000</v>
      </c>
      <c r="M1039" s="33" t="s">
        <v>2264</v>
      </c>
      <c r="N1039" s="67">
        <v>51840</v>
      </c>
      <c r="O1039" s="16" t="s">
        <v>1130</v>
      </c>
      <c r="P1039" s="70">
        <v>129600000</v>
      </c>
      <c r="Q1039" s="33" t="s">
        <v>2434</v>
      </c>
      <c r="R1039" s="78">
        <v>7200</v>
      </c>
      <c r="S1039" s="16" t="s">
        <v>422</v>
      </c>
      <c r="T1039" s="67">
        <v>39600000</v>
      </c>
      <c r="U1039" s="16" t="s">
        <v>22</v>
      </c>
      <c r="V1039" s="16"/>
      <c r="W1039" s="16"/>
      <c r="X1039" s="16"/>
      <c r="Y1039" s="16">
        <v>60</v>
      </c>
      <c r="Z1039" s="16">
        <v>40</v>
      </c>
      <c r="AA1039" s="16">
        <v>0</v>
      </c>
      <c r="AB1039" s="16">
        <v>0</v>
      </c>
      <c r="AC1039" s="16"/>
      <c r="AD1039" s="68"/>
      <c r="AE1039" s="23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</row>
    <row r="1040" spans="1:84" s="2" customFormat="1" x14ac:dyDescent="0.2">
      <c r="A1040" s="17" t="s">
        <v>3921</v>
      </c>
      <c r="B1040" s="17" t="s">
        <v>45</v>
      </c>
      <c r="C1040" s="17">
        <v>2025</v>
      </c>
      <c r="D1040" s="17" t="str">
        <f t="array" ref="D1040">_xlfn.SWITCH(E1040,"Bagor","35.18.14","Sukomoro",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40" s="16" t="s">
        <v>157</v>
      </c>
      <c r="F1040" s="33" t="s">
        <v>2429</v>
      </c>
      <c r="G1040" s="33" t="s">
        <v>2435</v>
      </c>
      <c r="H1040" s="16" t="s">
        <v>31</v>
      </c>
      <c r="I1040" s="16">
        <v>1</v>
      </c>
      <c r="J1040" s="16">
        <v>2</v>
      </c>
      <c r="K1040" s="16">
        <f t="shared" si="18"/>
        <v>3</v>
      </c>
      <c r="L1040" s="38">
        <v>4000000</v>
      </c>
      <c r="M1040" s="33" t="s">
        <v>1767</v>
      </c>
      <c r="N1040" s="67">
        <v>4320</v>
      </c>
      <c r="O1040" s="16" t="s">
        <v>422</v>
      </c>
      <c r="P1040" s="70">
        <v>99360000</v>
      </c>
      <c r="Q1040" s="33" t="s">
        <v>2434</v>
      </c>
      <c r="R1040" s="78">
        <v>4320</v>
      </c>
      <c r="S1040" s="16" t="s">
        <v>422</v>
      </c>
      <c r="T1040" s="67">
        <v>23760000</v>
      </c>
      <c r="U1040" s="16" t="s">
        <v>22</v>
      </c>
      <c r="V1040" s="16"/>
      <c r="W1040" s="16"/>
      <c r="X1040" s="16"/>
      <c r="Y1040" s="16">
        <v>40</v>
      </c>
      <c r="Z1040" s="16">
        <v>30</v>
      </c>
      <c r="AA1040" s="16">
        <v>30</v>
      </c>
      <c r="AB1040" s="16">
        <v>0</v>
      </c>
      <c r="AC1040" s="16"/>
      <c r="AD1040" s="68"/>
      <c r="AE1040" s="23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</row>
    <row r="1041" spans="1:84" s="2" customFormat="1" x14ac:dyDescent="0.2">
      <c r="A1041" s="17" t="s">
        <v>3921</v>
      </c>
      <c r="B1041" s="17" t="s">
        <v>45</v>
      </c>
      <c r="C1041" s="17">
        <v>2025</v>
      </c>
      <c r="D1041" s="17" t="str">
        <f t="array" ref="D1041">_xlfn.SWITCH(E1041,"Bagor","35.18.14","Sukomoro",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41" s="16" t="s">
        <v>157</v>
      </c>
      <c r="F1041" s="33" t="s">
        <v>2436</v>
      </c>
      <c r="G1041" s="33" t="s">
        <v>2437</v>
      </c>
      <c r="H1041" s="16" t="s">
        <v>31</v>
      </c>
      <c r="I1041" s="16">
        <v>7</v>
      </c>
      <c r="J1041" s="16">
        <v>0</v>
      </c>
      <c r="K1041" s="16">
        <f t="shared" si="18"/>
        <v>7</v>
      </c>
      <c r="L1041" s="38">
        <v>60000000</v>
      </c>
      <c r="M1041" s="33" t="s">
        <v>401</v>
      </c>
      <c r="N1041" s="67">
        <v>438</v>
      </c>
      <c r="O1041" s="16" t="s">
        <v>962</v>
      </c>
      <c r="P1041" s="70">
        <v>4117200000</v>
      </c>
      <c r="Q1041" s="33" t="s">
        <v>1601</v>
      </c>
      <c r="R1041" s="78">
        <v>876</v>
      </c>
      <c r="S1041" s="16" t="s">
        <v>962</v>
      </c>
      <c r="T1041" s="67">
        <v>2277600000</v>
      </c>
      <c r="U1041" s="16" t="s">
        <v>22</v>
      </c>
      <c r="V1041" s="16"/>
      <c r="W1041" s="16"/>
      <c r="X1041" s="16"/>
      <c r="Y1041" s="16">
        <v>80</v>
      </c>
      <c r="Z1041" s="16">
        <v>20</v>
      </c>
      <c r="AA1041" s="16">
        <v>0</v>
      </c>
      <c r="AB1041" s="16">
        <v>0</v>
      </c>
      <c r="AC1041" s="16"/>
      <c r="AD1041" s="68"/>
      <c r="AE1041" s="23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</row>
    <row r="1042" spans="1:84" s="2" customFormat="1" x14ac:dyDescent="0.2">
      <c r="A1042" s="17" t="s">
        <v>3921</v>
      </c>
      <c r="B1042" s="17" t="s">
        <v>45</v>
      </c>
      <c r="C1042" s="17">
        <v>2025</v>
      </c>
      <c r="D1042" s="17" t="str">
        <f t="array" ref="D1042">_xlfn.SWITCH(E1042,"Bagor","35.18.14","Sukomoro",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42" s="16" t="s">
        <v>157</v>
      </c>
      <c r="F1042" s="33" t="s">
        <v>2438</v>
      </c>
      <c r="G1042" s="33" t="s">
        <v>2439</v>
      </c>
      <c r="H1042" s="16" t="s">
        <v>31</v>
      </c>
      <c r="I1042" s="16">
        <v>1</v>
      </c>
      <c r="J1042" s="16">
        <v>1</v>
      </c>
      <c r="K1042" s="16">
        <f t="shared" si="18"/>
        <v>2</v>
      </c>
      <c r="L1042" s="38">
        <v>60000000</v>
      </c>
      <c r="M1042" s="33" t="s">
        <v>2440</v>
      </c>
      <c r="N1042" s="67">
        <v>172800</v>
      </c>
      <c r="O1042" s="16" t="s">
        <v>1130</v>
      </c>
      <c r="P1042" s="70">
        <v>86400000</v>
      </c>
      <c r="Q1042" s="33" t="s">
        <v>2434</v>
      </c>
      <c r="R1042" s="78">
        <v>10</v>
      </c>
      <c r="S1042" s="16" t="s">
        <v>962</v>
      </c>
      <c r="T1042" s="67">
        <v>20736000</v>
      </c>
      <c r="U1042" s="16" t="s">
        <v>22</v>
      </c>
      <c r="V1042" s="16"/>
      <c r="W1042" s="16"/>
      <c r="X1042" s="16"/>
      <c r="Y1042" s="16">
        <v>80</v>
      </c>
      <c r="Z1042" s="16">
        <v>20</v>
      </c>
      <c r="AA1042" s="16">
        <v>0</v>
      </c>
      <c r="AB1042" s="16">
        <v>0</v>
      </c>
      <c r="AC1042" s="16"/>
      <c r="AD1042" s="68"/>
      <c r="AE1042" s="23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</row>
    <row r="1043" spans="1:84" s="2" customFormat="1" x14ac:dyDescent="0.2">
      <c r="A1043" s="17" t="s">
        <v>3921</v>
      </c>
      <c r="B1043" s="17" t="s">
        <v>45</v>
      </c>
      <c r="C1043" s="17">
        <v>2025</v>
      </c>
      <c r="D1043" s="17" t="str">
        <f t="array" ref="D1043">_xlfn.SWITCH(E1043,"Bagor","35.18.14","Sukomoro",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43" s="16" t="s">
        <v>157</v>
      </c>
      <c r="F1043" s="33" t="s">
        <v>2441</v>
      </c>
      <c r="G1043" s="33" t="s">
        <v>2442</v>
      </c>
      <c r="H1043" s="16" t="s">
        <v>31</v>
      </c>
      <c r="I1043" s="16">
        <v>2</v>
      </c>
      <c r="J1043" s="16">
        <v>2</v>
      </c>
      <c r="K1043" s="16">
        <f t="shared" si="18"/>
        <v>4</v>
      </c>
      <c r="L1043" s="38">
        <v>2000000</v>
      </c>
      <c r="M1043" s="33" t="s">
        <v>2443</v>
      </c>
      <c r="N1043" s="67">
        <v>10080</v>
      </c>
      <c r="O1043" s="16" t="s">
        <v>422</v>
      </c>
      <c r="P1043" s="70">
        <v>403200000</v>
      </c>
      <c r="Q1043" s="33" t="s">
        <v>1642</v>
      </c>
      <c r="R1043" s="78">
        <v>10080</v>
      </c>
      <c r="S1043" s="16" t="s">
        <v>422</v>
      </c>
      <c r="T1043" s="67">
        <v>83664000</v>
      </c>
      <c r="U1043" s="16" t="s">
        <v>22</v>
      </c>
      <c r="V1043" s="16"/>
      <c r="W1043" s="16"/>
      <c r="X1043" s="16"/>
      <c r="Y1043" s="16">
        <v>80</v>
      </c>
      <c r="Z1043" s="16">
        <v>20</v>
      </c>
      <c r="AA1043" s="16">
        <v>0</v>
      </c>
      <c r="AB1043" s="16">
        <v>0</v>
      </c>
      <c r="AC1043" s="16"/>
      <c r="AD1043" s="68"/>
      <c r="AE1043" s="23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</row>
    <row r="1044" spans="1:84" s="2" customFormat="1" x14ac:dyDescent="0.2">
      <c r="A1044" s="17" t="s">
        <v>3921</v>
      </c>
      <c r="B1044" s="17" t="s">
        <v>45</v>
      </c>
      <c r="C1044" s="17">
        <v>2025</v>
      </c>
      <c r="D1044" s="17" t="str">
        <f t="array" ref="D1044">_xlfn.SWITCH(E1044,"Bagor","35.18.14","Sukomoro",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44" s="16" t="s">
        <v>157</v>
      </c>
      <c r="F1044" s="33" t="s">
        <v>2444</v>
      </c>
      <c r="G1044" s="33" t="s">
        <v>2445</v>
      </c>
      <c r="H1044" s="16" t="s">
        <v>31</v>
      </c>
      <c r="I1044" s="16">
        <v>3</v>
      </c>
      <c r="J1044" s="16">
        <v>3</v>
      </c>
      <c r="K1044" s="16">
        <f t="shared" si="18"/>
        <v>6</v>
      </c>
      <c r="L1044" s="38">
        <v>5000000</v>
      </c>
      <c r="M1044" s="33" t="s">
        <v>2446</v>
      </c>
      <c r="N1044" s="67">
        <v>4320</v>
      </c>
      <c r="O1044" s="16" t="s">
        <v>1130</v>
      </c>
      <c r="P1044" s="70">
        <v>64000000</v>
      </c>
      <c r="Q1044" s="33" t="s">
        <v>2447</v>
      </c>
      <c r="R1044" s="78">
        <v>1080.43</v>
      </c>
      <c r="S1044" s="16" t="s">
        <v>2448</v>
      </c>
      <c r="T1044" s="67">
        <v>2592000</v>
      </c>
      <c r="U1044" s="16" t="s">
        <v>22</v>
      </c>
      <c r="V1044" s="16"/>
      <c r="W1044" s="16"/>
      <c r="X1044" s="16"/>
      <c r="Y1044" s="16">
        <v>65</v>
      </c>
      <c r="Z1044" s="16">
        <v>35</v>
      </c>
      <c r="AA1044" s="16">
        <v>0</v>
      </c>
      <c r="AB1044" s="16">
        <v>0</v>
      </c>
      <c r="AC1044" s="16"/>
      <c r="AD1044" s="68"/>
      <c r="AE1044" s="23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</row>
    <row r="1045" spans="1:84" x14ac:dyDescent="0.2">
      <c r="A1045" s="17" t="s">
        <v>3921</v>
      </c>
      <c r="B1045" s="17" t="s">
        <v>45</v>
      </c>
      <c r="C1045" s="17">
        <v>2025</v>
      </c>
      <c r="D1045" s="17" t="str">
        <f t="array" ref="D1045">_xlfn.SWITCH(E1045,"Jatikalen","35.18.20","Kertosono", "35.18.08","Lengkong","35.18.19","Loceret","35.18.04","Tanjunganom","35.18.11","Wilangan","35.18.15")</f>
        <v>35.18.11</v>
      </c>
      <c r="E1045" s="16" t="s">
        <v>60</v>
      </c>
      <c r="F1045" s="33" t="s">
        <v>2449</v>
      </c>
      <c r="G1045" s="33" t="s">
        <v>2450</v>
      </c>
      <c r="H1045" s="16" t="s">
        <v>31</v>
      </c>
      <c r="I1045" s="16">
        <v>1</v>
      </c>
      <c r="J1045" s="16">
        <v>2</v>
      </c>
      <c r="K1045" s="16">
        <f t="shared" si="18"/>
        <v>3</v>
      </c>
      <c r="L1045" s="38">
        <v>120000000</v>
      </c>
      <c r="M1045" s="33" t="s">
        <v>2264</v>
      </c>
      <c r="N1045" s="67">
        <v>15000</v>
      </c>
      <c r="O1045" s="16" t="s">
        <v>1130</v>
      </c>
      <c r="P1045" s="70">
        <v>75000000</v>
      </c>
      <c r="Q1045" s="33" t="s">
        <v>2434</v>
      </c>
      <c r="R1045" s="78">
        <v>8640</v>
      </c>
      <c r="S1045" s="16" t="s">
        <v>422</v>
      </c>
      <c r="T1045" s="67">
        <v>47520000</v>
      </c>
      <c r="U1045" s="16" t="s">
        <v>22</v>
      </c>
      <c r="V1045" s="16"/>
      <c r="W1045" s="16"/>
      <c r="X1045" s="16"/>
      <c r="Y1045" s="16">
        <v>100</v>
      </c>
      <c r="Z1045" s="16">
        <v>0</v>
      </c>
      <c r="AA1045" s="16">
        <v>0</v>
      </c>
      <c r="AB1045" s="16">
        <v>0</v>
      </c>
      <c r="AC1045" s="16"/>
      <c r="AD1045" s="68"/>
      <c r="AE1045" s="23"/>
    </row>
    <row r="1046" spans="1:84" x14ac:dyDescent="0.2">
      <c r="A1046" s="17" t="s">
        <v>3921</v>
      </c>
      <c r="B1046" s="17" t="s">
        <v>45</v>
      </c>
      <c r="C1046" s="17">
        <v>2025</v>
      </c>
      <c r="D1046" s="17" t="str">
        <f t="array" ref="D1046">_xlfn.SWITCH(E1046,"Jatikalen","35.18.20","Kertosono", "35.18.08","Lengkong","35.18.19","Loceret","35.18.04","Tanjunganom","35.18.11","Wilangan","35.18.15")</f>
        <v>35.18.11</v>
      </c>
      <c r="E1046" s="16" t="s">
        <v>60</v>
      </c>
      <c r="F1046" s="33" t="s">
        <v>2449</v>
      </c>
      <c r="G1046" s="33" t="s">
        <v>2451</v>
      </c>
      <c r="H1046" s="16" t="s">
        <v>31</v>
      </c>
      <c r="I1046" s="16">
        <v>3</v>
      </c>
      <c r="J1046" s="16">
        <v>0</v>
      </c>
      <c r="K1046" s="16">
        <f t="shared" si="18"/>
        <v>3</v>
      </c>
      <c r="L1046" s="38">
        <v>6000000</v>
      </c>
      <c r="M1046" s="33" t="s">
        <v>2446</v>
      </c>
      <c r="N1046" s="67">
        <v>5760</v>
      </c>
      <c r="O1046" s="16" t="s">
        <v>1130</v>
      </c>
      <c r="P1046" s="70">
        <v>288000000</v>
      </c>
      <c r="Q1046" s="33" t="s">
        <v>2447</v>
      </c>
      <c r="R1046" s="78">
        <v>1440.57</v>
      </c>
      <c r="S1046" s="16" t="s">
        <v>2448</v>
      </c>
      <c r="T1046" s="67">
        <v>3456000</v>
      </c>
      <c r="U1046" s="16" t="s">
        <v>22</v>
      </c>
      <c r="V1046" s="16"/>
      <c r="W1046" s="16"/>
      <c r="X1046" s="16"/>
      <c r="Y1046" s="16">
        <v>65</v>
      </c>
      <c r="Z1046" s="16">
        <v>35</v>
      </c>
      <c r="AA1046" s="16">
        <v>0</v>
      </c>
      <c r="AB1046" s="16">
        <v>0</v>
      </c>
      <c r="AC1046" s="16"/>
      <c r="AD1046" s="68"/>
      <c r="AE1046" s="23"/>
    </row>
    <row r="1047" spans="1:84" x14ac:dyDescent="0.2">
      <c r="A1047" s="17" t="s">
        <v>3921</v>
      </c>
      <c r="B1047" s="17" t="s">
        <v>45</v>
      </c>
      <c r="C1047" s="17">
        <v>2025</v>
      </c>
      <c r="D1047" s="17" t="str">
        <f t="array" ref="D1047">_xlfn.SWITCH(E1047,"Jatikalen","35.18.20","Kertosono", "35.18.08","Lengkong","35.18.19","Loceret","35.18.04","Tanjunganom","35.18.11","Wilangan","35.18.15")</f>
        <v>35.18.11</v>
      </c>
      <c r="E1047" s="16" t="s">
        <v>60</v>
      </c>
      <c r="F1047" s="33" t="s">
        <v>2369</v>
      </c>
      <c r="G1047" s="33" t="s">
        <v>2452</v>
      </c>
      <c r="H1047" s="16" t="s">
        <v>31</v>
      </c>
      <c r="I1047" s="16">
        <v>4</v>
      </c>
      <c r="J1047" s="16">
        <v>0</v>
      </c>
      <c r="K1047" s="16">
        <f t="shared" si="18"/>
        <v>4</v>
      </c>
      <c r="L1047" s="38">
        <v>50000000</v>
      </c>
      <c r="M1047" s="33" t="s">
        <v>172</v>
      </c>
      <c r="N1047" s="67">
        <v>16800</v>
      </c>
      <c r="O1047" s="16" t="s">
        <v>422</v>
      </c>
      <c r="P1047" s="70">
        <v>252000000</v>
      </c>
      <c r="Q1047" s="33" t="s">
        <v>1642</v>
      </c>
      <c r="R1047" s="78">
        <v>16800</v>
      </c>
      <c r="S1047" s="16" t="s">
        <v>422</v>
      </c>
      <c r="T1047" s="67">
        <v>134400000</v>
      </c>
      <c r="U1047" s="16" t="s">
        <v>22</v>
      </c>
      <c r="V1047" s="16"/>
      <c r="W1047" s="16"/>
      <c r="X1047" s="16"/>
      <c r="Y1047" s="16">
        <v>60</v>
      </c>
      <c r="Z1047" s="16">
        <v>40</v>
      </c>
      <c r="AA1047" s="16">
        <v>0</v>
      </c>
      <c r="AB1047" s="16">
        <v>0</v>
      </c>
      <c r="AC1047" s="16"/>
      <c r="AD1047" s="68"/>
      <c r="AE1047" s="23"/>
    </row>
    <row r="1048" spans="1:84" x14ac:dyDescent="0.2">
      <c r="A1048" s="17" t="s">
        <v>3921</v>
      </c>
      <c r="B1048" s="17" t="s">
        <v>45</v>
      </c>
      <c r="C1048" s="17">
        <v>2025</v>
      </c>
      <c r="D1048" s="17" t="str">
        <f t="array" ref="D1048">_xlfn.SWITCH(E1048,"Jatikalen","35.18.20","Kertosono", "35.18.08","Lengkong","35.18.19","Loceret","35.18.04","Tanjunganom","35.18.11","Wilangan","35.18.15")</f>
        <v>35.18.11</v>
      </c>
      <c r="E1048" s="16" t="s">
        <v>60</v>
      </c>
      <c r="F1048" s="33" t="s">
        <v>2453</v>
      </c>
      <c r="G1048" s="33" t="s">
        <v>2454</v>
      </c>
      <c r="H1048" s="16" t="s">
        <v>31</v>
      </c>
      <c r="I1048" s="16">
        <v>8</v>
      </c>
      <c r="J1048" s="16">
        <v>7</v>
      </c>
      <c r="K1048" s="16">
        <f t="shared" si="18"/>
        <v>15</v>
      </c>
      <c r="L1048" s="38">
        <v>75000000</v>
      </c>
      <c r="M1048" s="33" t="s">
        <v>180</v>
      </c>
      <c r="N1048" s="67">
        <v>57600</v>
      </c>
      <c r="O1048" s="16" t="s">
        <v>422</v>
      </c>
      <c r="P1048" s="70">
        <v>535680000</v>
      </c>
      <c r="Q1048" s="33" t="s">
        <v>2434</v>
      </c>
      <c r="R1048" s="78">
        <v>6700</v>
      </c>
      <c r="S1048" s="16" t="s">
        <v>422</v>
      </c>
      <c r="T1048" s="67">
        <v>385920000</v>
      </c>
      <c r="U1048" s="16" t="s">
        <v>22</v>
      </c>
      <c r="V1048" s="16"/>
      <c r="W1048" s="16"/>
      <c r="X1048" s="16"/>
      <c r="Y1048" s="16">
        <v>60</v>
      </c>
      <c r="Z1048" s="16">
        <v>40</v>
      </c>
      <c r="AA1048" s="16">
        <v>0</v>
      </c>
      <c r="AB1048" s="16">
        <v>0</v>
      </c>
      <c r="AC1048" s="16"/>
      <c r="AD1048" s="68"/>
      <c r="AE1048" s="23"/>
    </row>
    <row r="1049" spans="1:84" x14ac:dyDescent="0.2">
      <c r="A1049" s="17" t="s">
        <v>3921</v>
      </c>
      <c r="B1049" s="17" t="s">
        <v>45</v>
      </c>
      <c r="C1049" s="17">
        <v>2025</v>
      </c>
      <c r="D1049" s="17" t="str">
        <f t="array" ref="D1049">_xlfn.SWITCH(E1049,"Jatikalen","35.18.20","Kertosono", "35.18.08","Lengkong","35.18.19","Loceret","35.18.04","Tanjunganom","35.18.11","Wilangan","35.18.15")</f>
        <v>35.18.11</v>
      </c>
      <c r="E1049" s="16" t="s">
        <v>60</v>
      </c>
      <c r="F1049" s="33" t="s">
        <v>2455</v>
      </c>
      <c r="G1049" s="33" t="s">
        <v>2456</v>
      </c>
      <c r="H1049" s="16" t="s">
        <v>31</v>
      </c>
      <c r="I1049" s="16">
        <v>0</v>
      </c>
      <c r="J1049" s="16">
        <v>1</v>
      </c>
      <c r="K1049" s="16">
        <f t="shared" si="18"/>
        <v>1</v>
      </c>
      <c r="L1049" s="38">
        <v>6000000</v>
      </c>
      <c r="M1049" s="33" t="s">
        <v>1981</v>
      </c>
      <c r="N1049" s="67">
        <v>20</v>
      </c>
      <c r="O1049" s="16" t="s">
        <v>1474</v>
      </c>
      <c r="P1049" s="70">
        <v>84000000</v>
      </c>
      <c r="Q1049" s="33" t="s">
        <v>1475</v>
      </c>
      <c r="R1049" s="67">
        <v>100</v>
      </c>
      <c r="S1049" s="16" t="s">
        <v>1368</v>
      </c>
      <c r="T1049" s="67">
        <v>15000000</v>
      </c>
      <c r="U1049" s="16" t="s">
        <v>22</v>
      </c>
      <c r="V1049" s="16"/>
      <c r="W1049" s="16"/>
      <c r="X1049" s="16"/>
      <c r="Y1049" s="16">
        <v>70</v>
      </c>
      <c r="Z1049" s="16">
        <v>30</v>
      </c>
      <c r="AA1049" s="16">
        <v>0</v>
      </c>
      <c r="AB1049" s="16">
        <v>0</v>
      </c>
      <c r="AC1049" s="16"/>
      <c r="AD1049" s="68"/>
      <c r="AE1049" s="23"/>
    </row>
    <row r="1050" spans="1:84" x14ac:dyDescent="0.2">
      <c r="A1050" s="17" t="s">
        <v>3921</v>
      </c>
      <c r="B1050" s="17" t="s">
        <v>45</v>
      </c>
      <c r="C1050" s="17">
        <v>2025</v>
      </c>
      <c r="D1050" s="17" t="str">
        <f t="array" ref="D1050">_xlfn.SWITCH(E1050,"Jatikalen","35.18.20","Kertosono", "35.18.08","Lengkong","35.18.19","Loceret","35.18.04","Tanjunganom","35.18.11","Wilangan","35.18.15")</f>
        <v>35.18.11</v>
      </c>
      <c r="E1050" s="16" t="s">
        <v>60</v>
      </c>
      <c r="F1050" s="33" t="s">
        <v>2369</v>
      </c>
      <c r="G1050" s="33" t="s">
        <v>2457</v>
      </c>
      <c r="H1050" s="16" t="s">
        <v>31</v>
      </c>
      <c r="I1050" s="16">
        <v>3</v>
      </c>
      <c r="J1050" s="16">
        <v>1</v>
      </c>
      <c r="K1050" s="16">
        <f t="shared" si="18"/>
        <v>4</v>
      </c>
      <c r="L1050" s="38">
        <v>30000000</v>
      </c>
      <c r="M1050" s="33" t="s">
        <v>2264</v>
      </c>
      <c r="N1050" s="67">
        <v>12500</v>
      </c>
      <c r="O1050" s="16" t="s">
        <v>1130</v>
      </c>
      <c r="P1050" s="70">
        <v>62500000</v>
      </c>
      <c r="Q1050" s="33" t="s">
        <v>2434</v>
      </c>
      <c r="R1050" s="67">
        <v>7200</v>
      </c>
      <c r="S1050" s="16" t="s">
        <v>422</v>
      </c>
      <c r="T1050" s="67">
        <v>39600000</v>
      </c>
      <c r="U1050" s="16" t="s">
        <v>22</v>
      </c>
      <c r="V1050" s="16"/>
      <c r="W1050" s="16"/>
      <c r="X1050" s="16"/>
      <c r="Y1050" s="16">
        <v>65</v>
      </c>
      <c r="Z1050" s="16">
        <v>35</v>
      </c>
      <c r="AA1050" s="16">
        <v>0</v>
      </c>
      <c r="AB1050" s="16">
        <v>0</v>
      </c>
      <c r="AC1050" s="16"/>
      <c r="AD1050" s="68"/>
      <c r="AE1050" s="23"/>
    </row>
    <row r="1051" spans="1:84" s="87" customFormat="1" ht="10.5" x14ac:dyDescent="0.25">
      <c r="A1051" s="17" t="s">
        <v>3921</v>
      </c>
      <c r="B1051" s="17" t="s">
        <v>45</v>
      </c>
      <c r="C1051" s="17">
        <v>2025</v>
      </c>
      <c r="D1051" s="17" t="str">
        <f t="array" ref="D1051">_xlfn.SWITCH(E1051,"Bagor","35.18.14","Sukomoro",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51" s="16" t="s">
        <v>140</v>
      </c>
      <c r="F1051" s="33" t="s">
        <v>963</v>
      </c>
      <c r="G1051" s="33" t="s">
        <v>2458</v>
      </c>
      <c r="H1051" s="16" t="s">
        <v>31</v>
      </c>
      <c r="I1051" s="80">
        <v>4</v>
      </c>
      <c r="J1051" s="80">
        <v>1</v>
      </c>
      <c r="K1051" s="80">
        <f t="shared" si="18"/>
        <v>5</v>
      </c>
      <c r="L1051" s="44">
        <v>28400000</v>
      </c>
      <c r="M1051" s="17" t="s">
        <v>2459</v>
      </c>
      <c r="N1051" s="44">
        <f>200*12*25</f>
        <v>60000</v>
      </c>
      <c r="O1051" s="16" t="s">
        <v>1398</v>
      </c>
      <c r="P1051" s="70">
        <v>187200000</v>
      </c>
      <c r="Q1051" s="17" t="s">
        <v>2434</v>
      </c>
      <c r="R1051" s="48">
        <f>200*25</f>
        <v>5000</v>
      </c>
      <c r="S1051" s="16" t="s">
        <v>1398</v>
      </c>
      <c r="T1051" s="53">
        <f t="shared" ref="T1051:T1064" si="19">P1051/2</f>
        <v>93600000</v>
      </c>
      <c r="U1051" s="20" t="s">
        <v>22</v>
      </c>
      <c r="V1051" s="81">
        <v>0</v>
      </c>
      <c r="W1051" s="82">
        <v>0</v>
      </c>
      <c r="X1051" s="20">
        <v>0</v>
      </c>
      <c r="Y1051" s="20">
        <v>100</v>
      </c>
      <c r="Z1051" s="20">
        <v>0</v>
      </c>
      <c r="AA1051" s="20">
        <v>0</v>
      </c>
      <c r="AB1051" s="21">
        <v>0</v>
      </c>
      <c r="AC1051" s="83"/>
      <c r="AD1051" s="84"/>
      <c r="AE1051" s="85"/>
      <c r="AF1051" s="86"/>
    </row>
    <row r="1052" spans="1:84" x14ac:dyDescent="0.2">
      <c r="A1052" s="17" t="s">
        <v>3921</v>
      </c>
      <c r="B1052" s="17" t="s">
        <v>45</v>
      </c>
      <c r="C1052" s="17">
        <v>2025</v>
      </c>
      <c r="D1052" s="17" t="str">
        <f t="array" ref="D1052">_xlfn.SWITCH(E1052,"Bagor","35.18.14","Sukomoro",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52" s="16" t="s">
        <v>140</v>
      </c>
      <c r="F1052" s="33" t="s">
        <v>963</v>
      </c>
      <c r="G1052" s="33" t="s">
        <v>2458</v>
      </c>
      <c r="H1052" s="16" t="s">
        <v>31</v>
      </c>
      <c r="I1052" s="16">
        <v>2</v>
      </c>
      <c r="J1052" s="16">
        <v>1</v>
      </c>
      <c r="K1052" s="16">
        <f t="shared" si="18"/>
        <v>3</v>
      </c>
      <c r="L1052" s="18">
        <v>13080000</v>
      </c>
      <c r="M1052" s="17" t="s">
        <v>2459</v>
      </c>
      <c r="N1052" s="18">
        <f>200*12*25</f>
        <v>60000</v>
      </c>
      <c r="O1052" s="16" t="s">
        <v>1398</v>
      </c>
      <c r="P1052" s="70">
        <v>156000000</v>
      </c>
      <c r="Q1052" s="88" t="s">
        <v>2434</v>
      </c>
      <c r="R1052" s="89">
        <f>200*25</f>
        <v>5000</v>
      </c>
      <c r="S1052" s="90" t="s">
        <v>1398</v>
      </c>
      <c r="T1052" s="53">
        <f t="shared" si="19"/>
        <v>78000000</v>
      </c>
      <c r="U1052" s="90" t="s">
        <v>22</v>
      </c>
      <c r="V1052" s="81">
        <v>0</v>
      </c>
      <c r="W1052" s="82">
        <v>0</v>
      </c>
      <c r="X1052" s="20">
        <v>0</v>
      </c>
      <c r="Y1052" s="21">
        <v>100</v>
      </c>
      <c r="Z1052" s="21">
        <v>0</v>
      </c>
      <c r="AA1052" s="21">
        <v>0</v>
      </c>
      <c r="AB1052" s="21">
        <v>0</v>
      </c>
      <c r="AC1052" s="88"/>
      <c r="AD1052" s="91"/>
    </row>
    <row r="1053" spans="1:84" x14ac:dyDescent="0.2">
      <c r="A1053" s="17" t="s">
        <v>3921</v>
      </c>
      <c r="B1053" s="17" t="s">
        <v>45</v>
      </c>
      <c r="C1053" s="17">
        <v>2025</v>
      </c>
      <c r="D1053" s="17" t="str">
        <f t="array" ref="D1053">_xlfn.SWITCH(E1053,"Bagor","35.18.14","Sukomoro",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53" s="16" t="s">
        <v>140</v>
      </c>
      <c r="F1053" s="33" t="s">
        <v>963</v>
      </c>
      <c r="G1053" s="33" t="s">
        <v>2458</v>
      </c>
      <c r="H1053" s="16" t="s">
        <v>31</v>
      </c>
      <c r="I1053" s="16">
        <v>3</v>
      </c>
      <c r="J1053" s="16">
        <v>9</v>
      </c>
      <c r="K1053" s="16">
        <f t="shared" si="18"/>
        <v>12</v>
      </c>
      <c r="L1053" s="18">
        <v>21711000</v>
      </c>
      <c r="M1053" s="17" t="s">
        <v>2459</v>
      </c>
      <c r="N1053" s="18">
        <f>400*300</f>
        <v>120000</v>
      </c>
      <c r="O1053" s="16" t="s">
        <v>1398</v>
      </c>
      <c r="P1053" s="70">
        <v>1248000000</v>
      </c>
      <c r="Q1053" s="88" t="s">
        <v>2434</v>
      </c>
      <c r="R1053" s="89">
        <f>400*20</f>
        <v>8000</v>
      </c>
      <c r="S1053" s="90" t="s">
        <v>1398</v>
      </c>
      <c r="T1053" s="53">
        <f t="shared" si="19"/>
        <v>624000000</v>
      </c>
      <c r="U1053" s="90" t="s">
        <v>22</v>
      </c>
      <c r="V1053" s="81">
        <v>0</v>
      </c>
      <c r="W1053" s="82">
        <v>0</v>
      </c>
      <c r="X1053" s="20">
        <v>0</v>
      </c>
      <c r="Y1053" s="21">
        <v>100</v>
      </c>
      <c r="Z1053" s="21">
        <v>0</v>
      </c>
      <c r="AA1053" s="21">
        <v>0</v>
      </c>
      <c r="AB1053" s="21">
        <v>0</v>
      </c>
      <c r="AC1053" s="88"/>
      <c r="AD1053" s="91"/>
    </row>
    <row r="1054" spans="1:84" x14ac:dyDescent="0.2">
      <c r="A1054" s="17" t="s">
        <v>3921</v>
      </c>
      <c r="B1054" s="17" t="s">
        <v>45</v>
      </c>
      <c r="C1054" s="17">
        <v>2025</v>
      </c>
      <c r="D1054" s="17" t="str">
        <f t="array" ref="D1054">_xlfn.SWITCH(E1054,"Bagor","35.18.14","Sukomoro",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54" s="16" t="s">
        <v>140</v>
      </c>
      <c r="F1054" s="33" t="s">
        <v>963</v>
      </c>
      <c r="G1054" s="33" t="s">
        <v>2458</v>
      </c>
      <c r="H1054" s="16" t="s">
        <v>31</v>
      </c>
      <c r="I1054" s="16">
        <v>3</v>
      </c>
      <c r="J1054" s="16">
        <v>8</v>
      </c>
      <c r="K1054" s="16">
        <f t="shared" si="18"/>
        <v>11</v>
      </c>
      <c r="L1054" s="18">
        <v>28875000</v>
      </c>
      <c r="M1054" s="17" t="s">
        <v>2459</v>
      </c>
      <c r="N1054" s="30">
        <v>10000</v>
      </c>
      <c r="O1054" s="16" t="s">
        <v>1719</v>
      </c>
      <c r="P1054" s="70">
        <v>200000000</v>
      </c>
      <c r="Q1054" s="88" t="s">
        <v>2434</v>
      </c>
      <c r="R1054" s="89">
        <f>10000*20</f>
        <v>200000</v>
      </c>
      <c r="S1054" s="90" t="s">
        <v>1398</v>
      </c>
      <c r="T1054" s="53">
        <f t="shared" si="19"/>
        <v>100000000</v>
      </c>
      <c r="U1054" s="90" t="s">
        <v>22</v>
      </c>
      <c r="V1054" s="81">
        <v>0</v>
      </c>
      <c r="W1054" s="82">
        <v>0</v>
      </c>
      <c r="X1054" s="20">
        <v>0</v>
      </c>
      <c r="Y1054" s="21">
        <v>100</v>
      </c>
      <c r="Z1054" s="21">
        <v>0</v>
      </c>
      <c r="AA1054" s="21">
        <v>0</v>
      </c>
      <c r="AB1054" s="21">
        <v>0</v>
      </c>
      <c r="AC1054" s="88"/>
      <c r="AD1054" s="91"/>
    </row>
    <row r="1055" spans="1:84" x14ac:dyDescent="0.2">
      <c r="A1055" s="17" t="s">
        <v>3921</v>
      </c>
      <c r="B1055" s="17" t="s">
        <v>45</v>
      </c>
      <c r="C1055" s="17">
        <v>2025</v>
      </c>
      <c r="D1055" s="17" t="str">
        <f t="array" ref="D1055">_xlfn.SWITCH(E1055,"Jatikalen","35.18.20","Kertosono", "35.18.08","Lengkong","35.18.19","Loceret","35.18.04","Tanjunganom","35.18.11","Wilangan","35.18.15")</f>
        <v>35.18.08</v>
      </c>
      <c r="E1055" s="16" t="s">
        <v>128</v>
      </c>
      <c r="F1055" s="33" t="s">
        <v>402</v>
      </c>
      <c r="G1055" s="33" t="s">
        <v>1120</v>
      </c>
      <c r="H1055" s="88" t="s">
        <v>31</v>
      </c>
      <c r="I1055" s="16">
        <v>1</v>
      </c>
      <c r="J1055" s="16">
        <v>1</v>
      </c>
      <c r="K1055" s="16">
        <f t="shared" si="18"/>
        <v>2</v>
      </c>
      <c r="L1055" s="18">
        <v>361500</v>
      </c>
      <c r="M1055" s="33" t="s">
        <v>1120</v>
      </c>
      <c r="N1055" s="30">
        <f>35*300</f>
        <v>10500</v>
      </c>
      <c r="O1055" s="16" t="s">
        <v>422</v>
      </c>
      <c r="P1055" s="70">
        <f>8000*N1055</f>
        <v>84000000</v>
      </c>
      <c r="Q1055" s="88" t="s">
        <v>1642</v>
      </c>
      <c r="R1055" s="45">
        <f>35*30*12</f>
        <v>12600</v>
      </c>
      <c r="S1055" s="90" t="s">
        <v>422</v>
      </c>
      <c r="T1055" s="53">
        <f t="shared" si="19"/>
        <v>42000000</v>
      </c>
      <c r="U1055" s="90" t="s">
        <v>22</v>
      </c>
      <c r="V1055" s="81">
        <v>0</v>
      </c>
      <c r="W1055" s="82">
        <v>0</v>
      </c>
      <c r="X1055" s="20">
        <v>0</v>
      </c>
      <c r="Y1055" s="21">
        <v>100</v>
      </c>
      <c r="Z1055" s="21">
        <v>0</v>
      </c>
      <c r="AA1055" s="21">
        <v>0</v>
      </c>
      <c r="AB1055" s="21">
        <v>0</v>
      </c>
      <c r="AC1055" s="88"/>
      <c r="AD1055" s="91"/>
    </row>
    <row r="1056" spans="1:84" x14ac:dyDescent="0.2">
      <c r="A1056" s="17" t="s">
        <v>3921</v>
      </c>
      <c r="B1056" s="17" t="s">
        <v>45</v>
      </c>
      <c r="C1056" s="17">
        <v>2025</v>
      </c>
      <c r="D1056" s="17" t="str">
        <f t="array" ref="D1056">_xlfn.SWITCH(E1056,"Jatikalen","35.18.20","Kertosono", "35.18.08","Lengkong","35.18.19","Loceret","35.18.04","Tanjunganom","35.18.11","Wilangan","35.18.15")</f>
        <v>35.18.08</v>
      </c>
      <c r="E1056" s="16" t="s">
        <v>128</v>
      </c>
      <c r="F1056" s="33" t="s">
        <v>402</v>
      </c>
      <c r="G1056" s="33" t="s">
        <v>1120</v>
      </c>
      <c r="H1056" s="88" t="s">
        <v>31</v>
      </c>
      <c r="I1056" s="16">
        <v>1</v>
      </c>
      <c r="J1056" s="16">
        <v>2</v>
      </c>
      <c r="K1056" s="16">
        <f t="shared" si="18"/>
        <v>3</v>
      </c>
      <c r="L1056" s="18">
        <v>2384000</v>
      </c>
      <c r="M1056" s="33" t="s">
        <v>1120</v>
      </c>
      <c r="N1056" s="18">
        <f>50*300</f>
        <v>15000</v>
      </c>
      <c r="O1056" s="16" t="s">
        <v>422</v>
      </c>
      <c r="P1056" s="70">
        <f>7600*N1056</f>
        <v>114000000</v>
      </c>
      <c r="Q1056" s="88" t="s">
        <v>1642</v>
      </c>
      <c r="R1056" s="45">
        <f>20*30*12</f>
        <v>7200</v>
      </c>
      <c r="S1056" s="90" t="s">
        <v>422</v>
      </c>
      <c r="T1056" s="53">
        <f t="shared" si="19"/>
        <v>57000000</v>
      </c>
      <c r="U1056" s="90" t="s">
        <v>22</v>
      </c>
      <c r="V1056" s="81">
        <v>0</v>
      </c>
      <c r="W1056" s="82">
        <v>0</v>
      </c>
      <c r="X1056" s="20">
        <v>0</v>
      </c>
      <c r="Y1056" s="21">
        <v>100</v>
      </c>
      <c r="Z1056" s="21">
        <v>0</v>
      </c>
      <c r="AA1056" s="21">
        <v>0</v>
      </c>
      <c r="AB1056" s="21">
        <v>0</v>
      </c>
      <c r="AC1056" s="88"/>
      <c r="AD1056" s="91"/>
    </row>
    <row r="1057" spans="1:30" x14ac:dyDescent="0.2">
      <c r="A1057" s="17" t="s">
        <v>3921</v>
      </c>
      <c r="B1057" s="17" t="s">
        <v>45</v>
      </c>
      <c r="C1057" s="17">
        <v>2025</v>
      </c>
      <c r="D1057" s="17" t="str">
        <f t="array" ref="D1057">_xlfn.SWITCH(E1057,"Jatikalen","35.18.20","Kertosono", "35.18.08","Lengkong","35.18.19","Loceret","35.18.04","Tanjunganom","35.18.11","Wilangan","35.18.15")</f>
        <v>35.18.08</v>
      </c>
      <c r="E1057" s="16" t="s">
        <v>128</v>
      </c>
      <c r="F1057" s="33" t="s">
        <v>402</v>
      </c>
      <c r="G1057" s="33" t="s">
        <v>1120</v>
      </c>
      <c r="H1057" s="88" t="s">
        <v>31</v>
      </c>
      <c r="I1057" s="16">
        <v>1</v>
      </c>
      <c r="J1057" s="16">
        <v>3</v>
      </c>
      <c r="K1057" s="16">
        <f t="shared" si="18"/>
        <v>4</v>
      </c>
      <c r="L1057" s="18">
        <v>1819000</v>
      </c>
      <c r="M1057" s="33" t="s">
        <v>1120</v>
      </c>
      <c r="N1057" s="18">
        <f>50*300</f>
        <v>15000</v>
      </c>
      <c r="O1057" s="16" t="s">
        <v>422</v>
      </c>
      <c r="P1057" s="30">
        <f>7850*N1057</f>
        <v>117750000</v>
      </c>
      <c r="Q1057" s="88" t="s">
        <v>1642</v>
      </c>
      <c r="R1057" s="45">
        <f>50*30*12</f>
        <v>18000</v>
      </c>
      <c r="S1057" s="90" t="s">
        <v>422</v>
      </c>
      <c r="T1057" s="53">
        <f t="shared" si="19"/>
        <v>58875000</v>
      </c>
      <c r="U1057" s="90" t="s">
        <v>22</v>
      </c>
      <c r="V1057" s="81">
        <v>0</v>
      </c>
      <c r="W1057" s="82">
        <v>0</v>
      </c>
      <c r="X1057" s="20">
        <v>0</v>
      </c>
      <c r="Y1057" s="21">
        <v>100</v>
      </c>
      <c r="Z1057" s="21">
        <v>0</v>
      </c>
      <c r="AA1057" s="21">
        <v>0</v>
      </c>
      <c r="AB1057" s="21">
        <v>0</v>
      </c>
      <c r="AC1057" s="88"/>
      <c r="AD1057" s="91"/>
    </row>
    <row r="1058" spans="1:30" x14ac:dyDescent="0.2">
      <c r="A1058" s="17" t="s">
        <v>3921</v>
      </c>
      <c r="B1058" s="17" t="s">
        <v>45</v>
      </c>
      <c r="C1058" s="17">
        <v>2025</v>
      </c>
      <c r="D1058" s="17" t="str">
        <f t="array" ref="D1058">_xlfn.SWITCH(E1058,"Jatikalen","35.18.20","Kertosono", "35.18.08","Lengkong","35.18.19","Loceret","35.18.04","Tanjunganom","35.18.11","Wilangan","35.18.15")</f>
        <v>35.18.08</v>
      </c>
      <c r="E1058" s="16" t="s">
        <v>128</v>
      </c>
      <c r="F1058" s="17" t="s">
        <v>639</v>
      </c>
      <c r="G1058" s="33" t="s">
        <v>172</v>
      </c>
      <c r="H1058" s="88" t="s">
        <v>31</v>
      </c>
      <c r="I1058" s="16">
        <v>1</v>
      </c>
      <c r="J1058" s="16">
        <v>1</v>
      </c>
      <c r="K1058" s="16">
        <f t="shared" si="18"/>
        <v>2</v>
      </c>
      <c r="L1058" s="18">
        <v>5308000</v>
      </c>
      <c r="M1058" s="17" t="s">
        <v>172</v>
      </c>
      <c r="N1058" s="18">
        <v>9</v>
      </c>
      <c r="O1058" s="16" t="s">
        <v>962</v>
      </c>
      <c r="P1058" s="30">
        <v>45000000</v>
      </c>
      <c r="Q1058" s="88" t="s">
        <v>1642</v>
      </c>
      <c r="R1058" s="45">
        <v>5</v>
      </c>
      <c r="S1058" s="90" t="s">
        <v>962</v>
      </c>
      <c r="T1058" s="53">
        <f t="shared" si="19"/>
        <v>22500000</v>
      </c>
      <c r="U1058" s="90" t="s">
        <v>22</v>
      </c>
      <c r="V1058" s="81">
        <v>0</v>
      </c>
      <c r="W1058" s="82">
        <v>0</v>
      </c>
      <c r="X1058" s="20">
        <v>0</v>
      </c>
      <c r="Y1058" s="21">
        <v>100</v>
      </c>
      <c r="Z1058" s="21">
        <v>0</v>
      </c>
      <c r="AA1058" s="21">
        <v>0</v>
      </c>
      <c r="AB1058" s="21">
        <v>0</v>
      </c>
      <c r="AC1058" s="88"/>
      <c r="AD1058" s="91"/>
    </row>
    <row r="1059" spans="1:30" x14ac:dyDescent="0.2">
      <c r="A1059" s="17" t="s">
        <v>3921</v>
      </c>
      <c r="B1059" s="17" t="s">
        <v>45</v>
      </c>
      <c r="C1059" s="17">
        <v>2025</v>
      </c>
      <c r="D1059" s="17" t="str">
        <f t="array" ref="D1059">_xlfn.SWITCH(E1059,"Jatikalen","35.18.20","Kertosono", "35.18.08","Lengkong","35.18.19","Loceret","35.18.04","Tanjunganom","35.18.11","Wilangan","35.18.15")</f>
        <v>35.18.08</v>
      </c>
      <c r="E1059" s="16" t="s">
        <v>128</v>
      </c>
      <c r="F1059" s="17" t="s">
        <v>639</v>
      </c>
      <c r="G1059" s="33" t="s">
        <v>172</v>
      </c>
      <c r="H1059" s="88" t="s">
        <v>31</v>
      </c>
      <c r="I1059" s="16">
        <v>1</v>
      </c>
      <c r="J1059" s="16">
        <v>1</v>
      </c>
      <c r="K1059" s="16">
        <f t="shared" si="18"/>
        <v>2</v>
      </c>
      <c r="L1059" s="18">
        <v>298000</v>
      </c>
      <c r="M1059" s="17" t="s">
        <v>172</v>
      </c>
      <c r="N1059" s="30">
        <v>2</v>
      </c>
      <c r="O1059" s="16" t="s">
        <v>962</v>
      </c>
      <c r="P1059" s="30">
        <v>900000</v>
      </c>
      <c r="Q1059" s="88" t="s">
        <v>1642</v>
      </c>
      <c r="R1059" s="45">
        <v>1</v>
      </c>
      <c r="S1059" s="90" t="s">
        <v>962</v>
      </c>
      <c r="T1059" s="53">
        <f t="shared" si="19"/>
        <v>450000</v>
      </c>
      <c r="U1059" s="90" t="s">
        <v>22</v>
      </c>
      <c r="V1059" s="81">
        <v>0</v>
      </c>
      <c r="W1059" s="82">
        <v>0</v>
      </c>
      <c r="X1059" s="20">
        <v>0</v>
      </c>
      <c r="Y1059" s="21">
        <v>100</v>
      </c>
      <c r="Z1059" s="21">
        <v>0</v>
      </c>
      <c r="AA1059" s="21">
        <v>0</v>
      </c>
      <c r="AB1059" s="21">
        <v>0</v>
      </c>
      <c r="AC1059" s="88"/>
      <c r="AD1059" s="91"/>
    </row>
    <row r="1060" spans="1:30" x14ac:dyDescent="0.2">
      <c r="A1060" s="17" t="s">
        <v>3921</v>
      </c>
      <c r="B1060" s="17" t="s">
        <v>45</v>
      </c>
      <c r="C1060" s="17">
        <v>2025</v>
      </c>
      <c r="D1060" s="17" t="str">
        <f t="array" ref="D1060">_xlfn.SWITCH(E1060,"Jatikalen","35.18.20","Kertosono", "35.18.08","Lengkong","35.18.19","Loceret","35.18.04","Tanjunganom","35.18.11","Wilangan","35.18.15")</f>
        <v>35.18.08</v>
      </c>
      <c r="E1060" s="16" t="s">
        <v>128</v>
      </c>
      <c r="F1060" s="17" t="s">
        <v>639</v>
      </c>
      <c r="G1060" s="33" t="s">
        <v>172</v>
      </c>
      <c r="H1060" s="88" t="s">
        <v>31</v>
      </c>
      <c r="I1060" s="16">
        <v>1</v>
      </c>
      <c r="J1060" s="16">
        <v>0</v>
      </c>
      <c r="K1060" s="16">
        <f t="shared" si="18"/>
        <v>1</v>
      </c>
      <c r="L1060" s="18">
        <v>356000</v>
      </c>
      <c r="M1060" s="17" t="s">
        <v>172</v>
      </c>
      <c r="N1060" s="30">
        <v>6</v>
      </c>
      <c r="O1060" s="16" t="s">
        <v>962</v>
      </c>
      <c r="P1060" s="30">
        <v>45000000</v>
      </c>
      <c r="Q1060" s="88" t="s">
        <v>1642</v>
      </c>
      <c r="R1060" s="45">
        <v>3</v>
      </c>
      <c r="S1060" s="90" t="s">
        <v>962</v>
      </c>
      <c r="T1060" s="53">
        <f t="shared" si="19"/>
        <v>22500000</v>
      </c>
      <c r="U1060" s="90" t="s">
        <v>22</v>
      </c>
      <c r="V1060" s="81">
        <v>0</v>
      </c>
      <c r="W1060" s="82">
        <v>0</v>
      </c>
      <c r="X1060" s="20">
        <v>0</v>
      </c>
      <c r="Y1060" s="21">
        <v>100</v>
      </c>
      <c r="Z1060" s="21">
        <v>0</v>
      </c>
      <c r="AA1060" s="21">
        <v>0</v>
      </c>
      <c r="AB1060" s="21">
        <v>0</v>
      </c>
      <c r="AC1060" s="88"/>
      <c r="AD1060" s="91"/>
    </row>
    <row r="1061" spans="1:30" x14ac:dyDescent="0.2">
      <c r="A1061" s="17" t="s">
        <v>3921</v>
      </c>
      <c r="B1061" s="17" t="s">
        <v>45</v>
      </c>
      <c r="C1061" s="17">
        <v>2025</v>
      </c>
      <c r="D1061" s="17" t="str">
        <f t="array" ref="D1061">_xlfn.SWITCH(E1061,"Jatikalen","35.18.20","Kertosono", "35.18.08","Lengkong","35.18.19","Loceret","35.18.04","Tanjunganom","35.18.11","Wilangan","35.18.15")</f>
        <v>35.18.08</v>
      </c>
      <c r="E1061" s="16" t="s">
        <v>128</v>
      </c>
      <c r="F1061" s="17" t="s">
        <v>639</v>
      </c>
      <c r="G1061" s="33" t="s">
        <v>172</v>
      </c>
      <c r="H1061" s="88" t="s">
        <v>31</v>
      </c>
      <c r="I1061" s="16">
        <v>1</v>
      </c>
      <c r="J1061" s="16">
        <v>1</v>
      </c>
      <c r="K1061" s="16">
        <f t="shared" si="18"/>
        <v>2</v>
      </c>
      <c r="L1061" s="18">
        <v>3894000</v>
      </c>
      <c r="M1061" s="17" t="s">
        <v>172</v>
      </c>
      <c r="N1061" s="30">
        <v>8</v>
      </c>
      <c r="O1061" s="16" t="s">
        <v>962</v>
      </c>
      <c r="P1061" s="30">
        <v>52500000</v>
      </c>
      <c r="Q1061" s="33" t="s">
        <v>1642</v>
      </c>
      <c r="R1061" s="45">
        <v>5</v>
      </c>
      <c r="S1061" s="16" t="s">
        <v>962</v>
      </c>
      <c r="T1061" s="53">
        <f t="shared" si="19"/>
        <v>26250000</v>
      </c>
      <c r="U1061" s="90" t="s">
        <v>22</v>
      </c>
      <c r="V1061" s="81">
        <v>0</v>
      </c>
      <c r="W1061" s="82">
        <v>0</v>
      </c>
      <c r="X1061" s="20">
        <v>0</v>
      </c>
      <c r="Y1061" s="21">
        <v>100</v>
      </c>
      <c r="Z1061" s="21">
        <v>0</v>
      </c>
      <c r="AA1061" s="21">
        <v>0</v>
      </c>
      <c r="AB1061" s="21">
        <v>0</v>
      </c>
      <c r="AC1061" s="16"/>
      <c r="AD1061" s="32"/>
    </row>
    <row r="1062" spans="1:30" x14ac:dyDescent="0.2">
      <c r="A1062" s="17" t="s">
        <v>3921</v>
      </c>
      <c r="B1062" s="17" t="s">
        <v>45</v>
      </c>
      <c r="C1062" s="17">
        <v>2025</v>
      </c>
      <c r="D1062" s="17" t="str">
        <f t="array" ref="D1062">_xlfn.SWITCH(E1062,"Jatikalen","35.18.20","Kertosono", "35.18.08","Lengkong","35.18.19","Loceret","35.18.04","Tanjunganom","35.18.11","Wilangan","35.18.15")</f>
        <v>35.18.08</v>
      </c>
      <c r="E1062" s="16" t="s">
        <v>128</v>
      </c>
      <c r="F1062" s="17" t="s">
        <v>639</v>
      </c>
      <c r="G1062" s="33" t="s">
        <v>172</v>
      </c>
      <c r="H1062" s="88" t="s">
        <v>31</v>
      </c>
      <c r="I1062" s="16">
        <v>1</v>
      </c>
      <c r="J1062" s="16">
        <v>2</v>
      </c>
      <c r="K1062" s="16">
        <f t="shared" si="18"/>
        <v>3</v>
      </c>
      <c r="L1062" s="18">
        <v>3362000</v>
      </c>
      <c r="M1062" s="17" t="s">
        <v>172</v>
      </c>
      <c r="N1062" s="18">
        <v>8</v>
      </c>
      <c r="O1062" s="16" t="s">
        <v>962</v>
      </c>
      <c r="P1062" s="30">
        <v>60000000</v>
      </c>
      <c r="Q1062" s="33" t="s">
        <v>1642</v>
      </c>
      <c r="R1062" s="45">
        <v>6</v>
      </c>
      <c r="S1062" s="16" t="s">
        <v>962</v>
      </c>
      <c r="T1062" s="53">
        <f t="shared" si="19"/>
        <v>30000000</v>
      </c>
      <c r="U1062" s="90" t="s">
        <v>22</v>
      </c>
      <c r="V1062" s="81">
        <v>0</v>
      </c>
      <c r="W1062" s="82">
        <v>0</v>
      </c>
      <c r="X1062" s="20">
        <v>0</v>
      </c>
      <c r="Y1062" s="21">
        <v>100</v>
      </c>
      <c r="Z1062" s="21">
        <v>0</v>
      </c>
      <c r="AA1062" s="21">
        <v>0</v>
      </c>
      <c r="AB1062" s="21">
        <v>0</v>
      </c>
      <c r="AC1062" s="16"/>
      <c r="AD1062" s="32"/>
    </row>
    <row r="1063" spans="1:30" x14ac:dyDescent="0.2">
      <c r="A1063" s="17" t="s">
        <v>3921</v>
      </c>
      <c r="B1063" s="17" t="s">
        <v>45</v>
      </c>
      <c r="C1063" s="17">
        <v>2025</v>
      </c>
      <c r="D1063" s="17" t="str">
        <f t="array" ref="D1063">_xlfn.SWITCH(E1063,"Bagor","35.18.14","Sukomoro",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63" s="16" t="s">
        <v>157</v>
      </c>
      <c r="F1063" s="33" t="s">
        <v>2460</v>
      </c>
      <c r="G1063" s="33" t="s">
        <v>1073</v>
      </c>
      <c r="H1063" s="88" t="s">
        <v>31</v>
      </c>
      <c r="I1063" s="16">
        <v>1</v>
      </c>
      <c r="J1063" s="16">
        <v>6</v>
      </c>
      <c r="K1063" s="16">
        <f t="shared" si="18"/>
        <v>7</v>
      </c>
      <c r="L1063" s="18">
        <v>20000000</v>
      </c>
      <c r="M1063" s="17" t="s">
        <v>2461</v>
      </c>
      <c r="N1063" s="18">
        <f>100*12</f>
        <v>1200</v>
      </c>
      <c r="O1063" s="16" t="s">
        <v>1398</v>
      </c>
      <c r="P1063" s="30">
        <f>30000*N1063</f>
        <v>36000000</v>
      </c>
      <c r="Q1063" s="33" t="s">
        <v>1468</v>
      </c>
      <c r="R1063" s="89">
        <f>10*12*12</f>
        <v>1440</v>
      </c>
      <c r="S1063" s="16" t="s">
        <v>1398</v>
      </c>
      <c r="T1063" s="53">
        <f t="shared" si="19"/>
        <v>18000000</v>
      </c>
      <c r="U1063" s="90" t="s">
        <v>22</v>
      </c>
      <c r="V1063" s="81">
        <v>0</v>
      </c>
      <c r="W1063" s="82">
        <v>0</v>
      </c>
      <c r="X1063" s="20">
        <v>0</v>
      </c>
      <c r="Y1063" s="21">
        <v>100</v>
      </c>
      <c r="Z1063" s="21">
        <v>0</v>
      </c>
      <c r="AA1063" s="21">
        <v>0</v>
      </c>
      <c r="AB1063" s="21">
        <v>0</v>
      </c>
      <c r="AC1063" s="16"/>
      <c r="AD1063" s="32"/>
    </row>
    <row r="1064" spans="1:30" ht="20" x14ac:dyDescent="0.2">
      <c r="A1064" s="17" t="s">
        <v>3921</v>
      </c>
      <c r="B1064" s="17" t="s">
        <v>45</v>
      </c>
      <c r="C1064" s="17">
        <v>2025</v>
      </c>
      <c r="D1064" s="17" t="str">
        <f t="array" ref="D1064">_xlfn.SWITCH(E1064,"Bagor","35.18.14","Sukomoro",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64" s="16" t="s">
        <v>45</v>
      </c>
      <c r="F1064" s="33" t="s">
        <v>2462</v>
      </c>
      <c r="G1064" s="33" t="s">
        <v>2463</v>
      </c>
      <c r="H1064" s="88" t="s">
        <v>31</v>
      </c>
      <c r="I1064" s="16">
        <v>1</v>
      </c>
      <c r="J1064" s="16">
        <v>2</v>
      </c>
      <c r="K1064" s="16">
        <f t="shared" si="18"/>
        <v>3</v>
      </c>
      <c r="L1064" s="18">
        <v>2450000</v>
      </c>
      <c r="M1064" s="17" t="s">
        <v>2464</v>
      </c>
      <c r="N1064" s="18">
        <f>5*25*12</f>
        <v>1500</v>
      </c>
      <c r="O1064" s="16" t="s">
        <v>1420</v>
      </c>
      <c r="P1064" s="30">
        <v>30000000</v>
      </c>
      <c r="Q1064" s="17" t="s">
        <v>2465</v>
      </c>
      <c r="R1064" s="18">
        <f>8*12*30</f>
        <v>2880</v>
      </c>
      <c r="S1064" s="16" t="s">
        <v>422</v>
      </c>
      <c r="T1064" s="53">
        <f t="shared" si="19"/>
        <v>15000000</v>
      </c>
      <c r="U1064" s="90" t="s">
        <v>22</v>
      </c>
      <c r="V1064" s="81">
        <v>0</v>
      </c>
      <c r="W1064" s="82">
        <v>0</v>
      </c>
      <c r="X1064" s="20">
        <v>0</v>
      </c>
      <c r="Y1064" s="21">
        <v>100</v>
      </c>
      <c r="Z1064" s="21">
        <v>0</v>
      </c>
      <c r="AA1064" s="21">
        <v>0</v>
      </c>
      <c r="AB1064" s="21">
        <v>0</v>
      </c>
      <c r="AC1064" s="16"/>
      <c r="AD1064" s="32"/>
    </row>
    <row r="1065" spans="1:30" ht="20" x14ac:dyDescent="0.2">
      <c r="A1065" s="17" t="s">
        <v>3921</v>
      </c>
      <c r="B1065" s="17" t="s">
        <v>45</v>
      </c>
      <c r="C1065" s="17">
        <v>2025</v>
      </c>
      <c r="D1065" s="17" t="str">
        <f t="array" ref="D1065">_xlfn.SWITCH(E1065,"Jatikalen","35.18.20","Kertosono", "35.18.08","Lengkong","35.18.19","Loceret","35.18.04","Tanjunganom","35.18.11","Wilangan","35.18.15")</f>
        <v>35.18.11</v>
      </c>
      <c r="E1065" s="16" t="s">
        <v>60</v>
      </c>
      <c r="F1065" s="33" t="s">
        <v>2466</v>
      </c>
      <c r="G1065" s="33" t="s">
        <v>2467</v>
      </c>
      <c r="H1065" s="88" t="s">
        <v>31</v>
      </c>
      <c r="I1065" s="16">
        <v>1</v>
      </c>
      <c r="J1065" s="16">
        <v>4</v>
      </c>
      <c r="K1065" s="16">
        <f t="shared" si="18"/>
        <v>5</v>
      </c>
      <c r="L1065" s="18">
        <v>25000000</v>
      </c>
      <c r="M1065" s="17" t="s">
        <v>1367</v>
      </c>
      <c r="N1065" s="18">
        <v>2000</v>
      </c>
      <c r="O1065" s="16" t="s">
        <v>1368</v>
      </c>
      <c r="P1065" s="30">
        <f>N1065*200000</f>
        <v>400000000</v>
      </c>
      <c r="Q1065" s="17" t="s">
        <v>1468</v>
      </c>
      <c r="R1065" s="18">
        <v>1700</v>
      </c>
      <c r="S1065" s="16" t="s">
        <v>1368</v>
      </c>
      <c r="T1065" s="53">
        <f>R1065*60000</f>
        <v>102000000</v>
      </c>
      <c r="U1065" s="90" t="s">
        <v>22</v>
      </c>
      <c r="V1065" s="81" t="s">
        <v>1370</v>
      </c>
      <c r="W1065" s="82">
        <v>900</v>
      </c>
      <c r="X1065" s="20" t="s">
        <v>1049</v>
      </c>
      <c r="Y1065" s="21">
        <v>70</v>
      </c>
      <c r="Z1065" s="21">
        <v>30</v>
      </c>
      <c r="AA1065" s="21">
        <v>0</v>
      </c>
      <c r="AB1065" s="21">
        <v>0</v>
      </c>
      <c r="AC1065" s="16"/>
      <c r="AD1065" s="32"/>
    </row>
    <row r="1066" spans="1:30" x14ac:dyDescent="0.2">
      <c r="A1066" s="17" t="s">
        <v>3921</v>
      </c>
      <c r="B1066" s="17" t="s">
        <v>45</v>
      </c>
      <c r="C1066" s="17">
        <v>2025</v>
      </c>
      <c r="D1066" s="17" t="str">
        <f t="array" ref="D1066">_xlfn.SWITCH(E1066,"Bagor","35.18.14","Sukomoro",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066" s="16" t="s">
        <v>103</v>
      </c>
      <c r="F1066" s="33" t="s">
        <v>2468</v>
      </c>
      <c r="G1066" s="33" t="s">
        <v>2469</v>
      </c>
      <c r="H1066" s="88" t="s">
        <v>31</v>
      </c>
      <c r="I1066" s="16">
        <v>2</v>
      </c>
      <c r="J1066" s="16">
        <v>3</v>
      </c>
      <c r="K1066" s="16">
        <f t="shared" si="18"/>
        <v>5</v>
      </c>
      <c r="L1066" s="18">
        <v>6000000</v>
      </c>
      <c r="M1066" s="17" t="s">
        <v>190</v>
      </c>
      <c r="N1066" s="18">
        <f>100*12*25</f>
        <v>30000</v>
      </c>
      <c r="O1066" s="16" t="s">
        <v>422</v>
      </c>
      <c r="P1066" s="30">
        <v>750000000</v>
      </c>
      <c r="Q1066" s="17" t="s">
        <v>1620</v>
      </c>
      <c r="R1066" s="18">
        <f>25*12*30</f>
        <v>9000</v>
      </c>
      <c r="S1066" s="16" t="s">
        <v>422</v>
      </c>
      <c r="T1066" s="53">
        <f>P1066/2</f>
        <v>375000000</v>
      </c>
      <c r="U1066" s="90" t="s">
        <v>22</v>
      </c>
      <c r="V1066" s="81">
        <v>0</v>
      </c>
      <c r="W1066" s="82">
        <v>0</v>
      </c>
      <c r="X1066" s="20">
        <v>0</v>
      </c>
      <c r="Y1066" s="21">
        <v>65</v>
      </c>
      <c r="Z1066" s="21">
        <v>35</v>
      </c>
      <c r="AA1066" s="21">
        <v>0</v>
      </c>
      <c r="AB1066" s="21">
        <v>0</v>
      </c>
      <c r="AC1066" s="16"/>
      <c r="AD1066" s="32"/>
    </row>
    <row r="1067" spans="1:30" x14ac:dyDescent="0.2">
      <c r="A1067" s="17" t="s">
        <v>3921</v>
      </c>
      <c r="B1067" s="17" t="s">
        <v>45</v>
      </c>
      <c r="C1067" s="17">
        <v>2025</v>
      </c>
      <c r="D1067" s="17" t="str">
        <f t="array" ref="D1067">_xlfn.SWITCH(E1067,"Jatikalen","35.18.20","Kertosono", "35.18.08","Lengkong","35.18.19","Loceret","35.18.04","Tanjunganom","35.18.11","Wilangan","35.18.15")</f>
        <v>35.18.19</v>
      </c>
      <c r="E1067" s="16" t="s">
        <v>64</v>
      </c>
      <c r="F1067" s="33" t="s">
        <v>1605</v>
      </c>
      <c r="G1067" s="33" t="s">
        <v>2470</v>
      </c>
      <c r="H1067" s="16" t="s">
        <v>31</v>
      </c>
      <c r="I1067" s="16">
        <v>2</v>
      </c>
      <c r="J1067" s="16">
        <v>4</v>
      </c>
      <c r="K1067" s="16">
        <f t="shared" si="18"/>
        <v>6</v>
      </c>
      <c r="L1067" s="18">
        <v>8000000</v>
      </c>
      <c r="M1067" s="17" t="s">
        <v>1367</v>
      </c>
      <c r="N1067" s="18">
        <v>1000</v>
      </c>
      <c r="O1067" s="16" t="s">
        <v>1368</v>
      </c>
      <c r="P1067" s="30">
        <f>N1067*275000</f>
        <v>275000000</v>
      </c>
      <c r="Q1067" s="17" t="s">
        <v>1468</v>
      </c>
      <c r="R1067" s="18">
        <v>1000</v>
      </c>
      <c r="S1067" s="16" t="s">
        <v>1368</v>
      </c>
      <c r="T1067" s="53">
        <f>R1067*60000</f>
        <v>60000000</v>
      </c>
      <c r="U1067" s="90" t="s">
        <v>22</v>
      </c>
      <c r="V1067" s="81" t="s">
        <v>1370</v>
      </c>
      <c r="W1067" s="82">
        <v>750</v>
      </c>
      <c r="X1067" s="20" t="s">
        <v>1049</v>
      </c>
      <c r="Y1067" s="21">
        <v>80</v>
      </c>
      <c r="Z1067" s="21">
        <v>20</v>
      </c>
      <c r="AA1067" s="21">
        <v>0</v>
      </c>
      <c r="AB1067" s="21">
        <v>0</v>
      </c>
      <c r="AC1067" s="16"/>
      <c r="AD1067" s="32"/>
    </row>
    <row r="1068" spans="1:30" x14ac:dyDescent="0.2">
      <c r="A1068" s="17" t="s">
        <v>3921</v>
      </c>
      <c r="B1068" s="17" t="s">
        <v>45</v>
      </c>
      <c r="C1068" s="17">
        <v>2025</v>
      </c>
      <c r="D1068" s="17" t="str">
        <f t="array" ref="D1068">_xlfn.SWITCH(E1068,"Jatikalen","35.18.20","Kertosono", "35.18.08","Lengkong","35.18.19","Loceret","35.18.04","Tanjunganom","35.18.11","Wilangan","35.18.15")</f>
        <v>35.18.19</v>
      </c>
      <c r="E1068" s="16" t="s">
        <v>64</v>
      </c>
      <c r="F1068" s="33" t="s">
        <v>1605</v>
      </c>
      <c r="G1068" s="33" t="s">
        <v>2470</v>
      </c>
      <c r="H1068" s="16" t="s">
        <v>31</v>
      </c>
      <c r="I1068" s="16">
        <v>2</v>
      </c>
      <c r="J1068" s="16">
        <v>7</v>
      </c>
      <c r="K1068" s="16">
        <f t="shared" si="18"/>
        <v>9</v>
      </c>
      <c r="L1068" s="18">
        <v>8000000</v>
      </c>
      <c r="M1068" s="17" t="s">
        <v>1367</v>
      </c>
      <c r="N1068" s="18">
        <v>1200</v>
      </c>
      <c r="O1068" s="16" t="s">
        <v>1368</v>
      </c>
      <c r="P1068" s="30">
        <f>N1068*275000</f>
        <v>330000000</v>
      </c>
      <c r="Q1068" s="17" t="s">
        <v>1468</v>
      </c>
      <c r="R1068" s="18">
        <v>950</v>
      </c>
      <c r="S1068" s="16" t="s">
        <v>1368</v>
      </c>
      <c r="T1068" s="53">
        <f>R1068*60000</f>
        <v>57000000</v>
      </c>
      <c r="U1068" s="90" t="s">
        <v>22</v>
      </c>
      <c r="V1068" s="81" t="s">
        <v>1370</v>
      </c>
      <c r="W1068" s="82">
        <v>500</v>
      </c>
      <c r="X1068" s="20" t="s">
        <v>1049</v>
      </c>
      <c r="Y1068" s="21">
        <v>80</v>
      </c>
      <c r="Z1068" s="21">
        <v>20</v>
      </c>
      <c r="AA1068" s="21">
        <v>0</v>
      </c>
      <c r="AB1068" s="21">
        <v>0</v>
      </c>
      <c r="AC1068" s="16"/>
      <c r="AD1068" s="32"/>
    </row>
    <row r="1069" spans="1:30" x14ac:dyDescent="0.2">
      <c r="A1069" s="17" t="s">
        <v>3921</v>
      </c>
      <c r="B1069" s="17" t="s">
        <v>45</v>
      </c>
      <c r="C1069" s="17">
        <v>2025</v>
      </c>
      <c r="D1069" s="17" t="str">
        <f t="array" ref="D1069">_xlfn.SWITCH(E1069,"Jatikalen","35.18.20","Kertosono", "35.18.08","Lengkong","35.18.19","Loceret","35.18.04","Tanjunganom","35.18.11","Wilangan","35.18.15")</f>
        <v>35.18.11</v>
      </c>
      <c r="E1069" s="16" t="s">
        <v>60</v>
      </c>
      <c r="F1069" s="33" t="s">
        <v>2471</v>
      </c>
      <c r="G1069" s="33" t="s">
        <v>2472</v>
      </c>
      <c r="H1069" s="88" t="s">
        <v>31</v>
      </c>
      <c r="I1069" s="16">
        <v>1</v>
      </c>
      <c r="J1069" s="16">
        <v>2</v>
      </c>
      <c r="K1069" s="16">
        <f t="shared" si="18"/>
        <v>3</v>
      </c>
      <c r="L1069" s="18">
        <v>15750000</v>
      </c>
      <c r="M1069" s="17" t="s">
        <v>1367</v>
      </c>
      <c r="N1069" s="18">
        <f>10*25*12</f>
        <v>3000</v>
      </c>
      <c r="O1069" s="16" t="s">
        <v>1368</v>
      </c>
      <c r="P1069" s="30">
        <f>N1069*175000</f>
        <v>525000000</v>
      </c>
      <c r="Q1069" s="17" t="s">
        <v>1468</v>
      </c>
      <c r="R1069" s="18">
        <v>2000</v>
      </c>
      <c r="S1069" s="16" t="s">
        <v>1368</v>
      </c>
      <c r="T1069" s="53">
        <f>R1069*60000</f>
        <v>120000000</v>
      </c>
      <c r="U1069" s="90" t="s">
        <v>22</v>
      </c>
      <c r="V1069" s="81" t="s">
        <v>1370</v>
      </c>
      <c r="W1069" s="82">
        <v>1000</v>
      </c>
      <c r="X1069" s="20" t="s">
        <v>1049</v>
      </c>
      <c r="Y1069" s="21">
        <v>100</v>
      </c>
      <c r="Z1069" s="21">
        <v>0</v>
      </c>
      <c r="AA1069" s="21">
        <v>0</v>
      </c>
      <c r="AB1069" s="21">
        <v>0</v>
      </c>
      <c r="AC1069" s="16"/>
      <c r="AD1069" s="32"/>
    </row>
    <row r="1070" spans="1:30" x14ac:dyDescent="0.2">
      <c r="A1070" s="17" t="s">
        <v>3921</v>
      </c>
      <c r="B1070" s="17" t="s">
        <v>45</v>
      </c>
      <c r="C1070" s="17">
        <v>2025</v>
      </c>
      <c r="D1070" s="17" t="str">
        <f t="array" ref="D1070">_xlfn.SWITCH(E1070,"Bagor","35.18.14","Sukomoro",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070" s="16" t="s">
        <v>124</v>
      </c>
      <c r="F1070" s="33" t="s">
        <v>2473</v>
      </c>
      <c r="G1070" s="33" t="s">
        <v>2474</v>
      </c>
      <c r="H1070" s="88" t="s">
        <v>31</v>
      </c>
      <c r="I1070" s="16">
        <v>0</v>
      </c>
      <c r="J1070" s="16">
        <v>4</v>
      </c>
      <c r="K1070" s="16">
        <f t="shared" si="18"/>
        <v>4</v>
      </c>
      <c r="L1070" s="18">
        <v>7000000</v>
      </c>
      <c r="M1070" s="17" t="s">
        <v>2475</v>
      </c>
      <c r="N1070" s="18">
        <f>5*25*12</f>
        <v>1500</v>
      </c>
      <c r="O1070" s="16" t="s">
        <v>1398</v>
      </c>
      <c r="P1070" s="30">
        <v>45000000</v>
      </c>
      <c r="Q1070" s="17" t="s">
        <v>2476</v>
      </c>
      <c r="R1070" s="18">
        <f>5*12*30</f>
        <v>1800</v>
      </c>
      <c r="S1070" s="16" t="s">
        <v>1398</v>
      </c>
      <c r="T1070" s="53">
        <f>P1070/2</f>
        <v>22500000</v>
      </c>
      <c r="U1070" s="90" t="s">
        <v>22</v>
      </c>
      <c r="V1070" s="81">
        <v>0</v>
      </c>
      <c r="W1070" s="82">
        <v>0</v>
      </c>
      <c r="X1070" s="20">
        <v>0</v>
      </c>
      <c r="Y1070" s="21">
        <v>70</v>
      </c>
      <c r="Z1070" s="21">
        <v>30</v>
      </c>
      <c r="AA1070" s="21">
        <v>0</v>
      </c>
      <c r="AB1070" s="21">
        <v>0</v>
      </c>
      <c r="AC1070" s="16"/>
      <c r="AD1070" s="32"/>
    </row>
    <row r="1071" spans="1:30" ht="20" x14ac:dyDescent="0.2">
      <c r="A1071" s="17" t="s">
        <v>3921</v>
      </c>
      <c r="B1071" s="17" t="s">
        <v>45</v>
      </c>
      <c r="C1071" s="17">
        <v>2025</v>
      </c>
      <c r="D1071" s="17" t="str">
        <f t="array" ref="D1071">_xlfn.SWITCH(E1071,"Bagor","35.18.14","Sukomoro",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071" s="16" t="s">
        <v>124</v>
      </c>
      <c r="F1071" s="33" t="s">
        <v>2477</v>
      </c>
      <c r="G1071" s="33" t="s">
        <v>2478</v>
      </c>
      <c r="H1071" s="88" t="s">
        <v>31</v>
      </c>
      <c r="I1071" s="16">
        <v>0</v>
      </c>
      <c r="J1071" s="16">
        <v>2</v>
      </c>
      <c r="K1071" s="16">
        <f t="shared" si="18"/>
        <v>2</v>
      </c>
      <c r="L1071" s="18">
        <v>7540000</v>
      </c>
      <c r="M1071" s="17" t="s">
        <v>1478</v>
      </c>
      <c r="N1071" s="18">
        <f>10*25*12</f>
        <v>3000</v>
      </c>
      <c r="O1071" s="16" t="s">
        <v>422</v>
      </c>
      <c r="P1071" s="30">
        <v>45000000</v>
      </c>
      <c r="Q1071" s="17" t="s">
        <v>2479</v>
      </c>
      <c r="R1071" s="18">
        <f>15*12*30</f>
        <v>5400</v>
      </c>
      <c r="S1071" s="16" t="s">
        <v>422</v>
      </c>
      <c r="T1071" s="53">
        <f>P1071/2</f>
        <v>22500000</v>
      </c>
      <c r="U1071" s="90" t="s">
        <v>22</v>
      </c>
      <c r="V1071" s="81">
        <v>0</v>
      </c>
      <c r="W1071" s="82">
        <v>0</v>
      </c>
      <c r="X1071" s="20">
        <v>0</v>
      </c>
      <c r="Y1071" s="21">
        <v>80</v>
      </c>
      <c r="Z1071" s="21">
        <v>20</v>
      </c>
      <c r="AA1071" s="21">
        <v>0</v>
      </c>
      <c r="AB1071" s="21">
        <v>0</v>
      </c>
      <c r="AC1071" s="16"/>
      <c r="AD1071" s="32"/>
    </row>
    <row r="1072" spans="1:30" ht="20" x14ac:dyDescent="0.2">
      <c r="A1072" s="17" t="s">
        <v>3921</v>
      </c>
      <c r="B1072" s="17" t="s">
        <v>45</v>
      </c>
      <c r="C1072" s="17">
        <v>2025</v>
      </c>
      <c r="D1072" s="17" t="str">
        <f t="array" ref="D1072">_xlfn.SWITCH(E1072,"Bagor","35.18.14","Sukomoro",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72" s="16" t="s">
        <v>45</v>
      </c>
      <c r="F1072" s="33" t="s">
        <v>2480</v>
      </c>
      <c r="G1072" s="33" t="s">
        <v>2481</v>
      </c>
      <c r="H1072" s="88" t="s">
        <v>31</v>
      </c>
      <c r="I1072" s="16">
        <v>0</v>
      </c>
      <c r="J1072" s="16">
        <v>3</v>
      </c>
      <c r="K1072" s="16">
        <f t="shared" si="18"/>
        <v>3</v>
      </c>
      <c r="L1072" s="18">
        <v>5650000</v>
      </c>
      <c r="M1072" s="17" t="s">
        <v>190</v>
      </c>
      <c r="N1072" s="18">
        <f>6*25*12</f>
        <v>1800</v>
      </c>
      <c r="O1072" s="16" t="s">
        <v>422</v>
      </c>
      <c r="P1072" s="30">
        <v>45000000</v>
      </c>
      <c r="Q1072" s="17" t="s">
        <v>2434</v>
      </c>
      <c r="R1072" s="18">
        <f>18*12*25</f>
        <v>5400</v>
      </c>
      <c r="S1072" s="16" t="s">
        <v>422</v>
      </c>
      <c r="T1072" s="53">
        <f>P1072/2</f>
        <v>22500000</v>
      </c>
      <c r="U1072" s="90" t="s">
        <v>22</v>
      </c>
      <c r="V1072" s="81">
        <v>0</v>
      </c>
      <c r="W1072" s="82">
        <v>0</v>
      </c>
      <c r="X1072" s="20">
        <v>0</v>
      </c>
      <c r="Y1072" s="21">
        <v>80</v>
      </c>
      <c r="Z1072" s="21">
        <v>20</v>
      </c>
      <c r="AA1072" s="21">
        <v>0</v>
      </c>
      <c r="AB1072" s="21">
        <v>0</v>
      </c>
      <c r="AC1072" s="16"/>
      <c r="AD1072" s="32"/>
    </row>
    <row r="1073" spans="1:30" ht="20" x14ac:dyDescent="0.2">
      <c r="A1073" s="17" t="s">
        <v>3921</v>
      </c>
      <c r="B1073" s="17" t="s">
        <v>45</v>
      </c>
      <c r="C1073" s="17">
        <v>2025</v>
      </c>
      <c r="D1073" s="17" t="str">
        <f t="array" ref="D1073">_xlfn.SWITCH(E1073,"Bagor","35.18.14","Sukomoro",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073" s="16" t="s">
        <v>103</v>
      </c>
      <c r="F1073" s="33" t="s">
        <v>2482</v>
      </c>
      <c r="G1073" s="33" t="s">
        <v>2483</v>
      </c>
      <c r="H1073" s="88" t="s">
        <v>31</v>
      </c>
      <c r="I1073" s="16">
        <v>1</v>
      </c>
      <c r="J1073" s="16">
        <v>3</v>
      </c>
      <c r="K1073" s="16">
        <f t="shared" si="18"/>
        <v>4</v>
      </c>
      <c r="L1073" s="18">
        <v>5000000</v>
      </c>
      <c r="M1073" s="17" t="s">
        <v>2483</v>
      </c>
      <c r="N1073" s="18">
        <f>10*26*12</f>
        <v>3120</v>
      </c>
      <c r="O1073" s="16" t="s">
        <v>1398</v>
      </c>
      <c r="P1073" s="30">
        <v>15600000</v>
      </c>
      <c r="Q1073" s="17" t="s">
        <v>1946</v>
      </c>
      <c r="R1073" s="18">
        <f>5*12*25</f>
        <v>1500</v>
      </c>
      <c r="S1073" s="16" t="s">
        <v>1398</v>
      </c>
      <c r="T1073" s="53">
        <f>P1073/2</f>
        <v>7800000</v>
      </c>
      <c r="U1073" s="90" t="s">
        <v>22</v>
      </c>
      <c r="V1073" s="81">
        <v>0</v>
      </c>
      <c r="W1073" s="82">
        <v>0</v>
      </c>
      <c r="X1073" s="20">
        <v>0</v>
      </c>
      <c r="Y1073" s="21">
        <v>85</v>
      </c>
      <c r="Z1073" s="21">
        <v>15</v>
      </c>
      <c r="AA1073" s="21">
        <v>0</v>
      </c>
      <c r="AB1073" s="21">
        <v>0</v>
      </c>
      <c r="AC1073" s="16"/>
      <c r="AD1073" s="32"/>
    </row>
    <row r="1074" spans="1:30" x14ac:dyDescent="0.2">
      <c r="A1074" s="17" t="s">
        <v>3921</v>
      </c>
      <c r="B1074" s="17" t="s">
        <v>45</v>
      </c>
      <c r="C1074" s="17">
        <v>2025</v>
      </c>
      <c r="D1074" s="17" t="str">
        <f t="array" ref="D1074">_xlfn.SWITCH(E1074,"Bagor","35.18.14","Sukomoro",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074" s="16" t="s">
        <v>29</v>
      </c>
      <c r="F1074" s="33" t="s">
        <v>2484</v>
      </c>
      <c r="G1074" s="33" t="s">
        <v>2485</v>
      </c>
      <c r="H1074" s="16" t="s">
        <v>47</v>
      </c>
      <c r="I1074" s="16">
        <v>3</v>
      </c>
      <c r="J1074" s="16">
        <v>2</v>
      </c>
      <c r="K1074" s="16">
        <f t="shared" si="18"/>
        <v>5</v>
      </c>
      <c r="L1074" s="18">
        <v>25000000</v>
      </c>
      <c r="M1074" s="17" t="s">
        <v>2486</v>
      </c>
      <c r="N1074" s="18">
        <f>10*25*12</f>
        <v>3000</v>
      </c>
      <c r="O1074" s="16" t="s">
        <v>1398</v>
      </c>
      <c r="P1074" s="30">
        <v>135000000</v>
      </c>
      <c r="Q1074" s="17" t="s">
        <v>50</v>
      </c>
      <c r="R1074" s="18">
        <f>5*12*30</f>
        <v>1800</v>
      </c>
      <c r="S1074" s="16" t="s">
        <v>69</v>
      </c>
      <c r="T1074" s="53">
        <f>R1074*20000</f>
        <v>36000000</v>
      </c>
      <c r="U1074" s="90" t="s">
        <v>22</v>
      </c>
      <c r="V1074" s="81">
        <v>0</v>
      </c>
      <c r="W1074" s="82">
        <v>0</v>
      </c>
      <c r="X1074" s="20">
        <v>0</v>
      </c>
      <c r="Y1074" s="21">
        <v>70</v>
      </c>
      <c r="Z1074" s="21">
        <v>30</v>
      </c>
      <c r="AA1074" s="21">
        <v>0</v>
      </c>
      <c r="AB1074" s="21">
        <v>0</v>
      </c>
      <c r="AC1074" s="16"/>
      <c r="AD1074" s="32"/>
    </row>
    <row r="1075" spans="1:30" ht="20" x14ac:dyDescent="0.2">
      <c r="A1075" s="17" t="s">
        <v>3921</v>
      </c>
      <c r="B1075" s="17" t="s">
        <v>45</v>
      </c>
      <c r="C1075" s="17">
        <v>2025</v>
      </c>
      <c r="D1075" s="17" t="str">
        <f t="array" ref="D1075">_xlfn.SWITCH(E1075,"Bagor","35.18.14","Sukomoro",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75" s="16" t="s">
        <v>45</v>
      </c>
      <c r="F1075" s="33" t="s">
        <v>2487</v>
      </c>
      <c r="G1075" s="33" t="s">
        <v>2488</v>
      </c>
      <c r="H1075" s="16" t="s">
        <v>31</v>
      </c>
      <c r="I1075" s="16">
        <v>1</v>
      </c>
      <c r="J1075" s="16">
        <v>1</v>
      </c>
      <c r="K1075" s="16">
        <f t="shared" si="18"/>
        <v>2</v>
      </c>
      <c r="L1075" s="18">
        <v>3500000</v>
      </c>
      <c r="M1075" s="17" t="s">
        <v>2475</v>
      </c>
      <c r="N1075" s="18">
        <f>8*12*25</f>
        <v>2400</v>
      </c>
      <c r="O1075" s="16" t="s">
        <v>1398</v>
      </c>
      <c r="P1075" s="30">
        <v>12000000</v>
      </c>
      <c r="Q1075" s="17" t="s">
        <v>1468</v>
      </c>
      <c r="R1075" s="18">
        <f>10*12*20</f>
        <v>2400</v>
      </c>
      <c r="S1075" s="16" t="s">
        <v>1368</v>
      </c>
      <c r="T1075" s="53">
        <f>P1075/2</f>
        <v>6000000</v>
      </c>
      <c r="U1075" s="90" t="s">
        <v>22</v>
      </c>
      <c r="V1075" s="81">
        <v>0</v>
      </c>
      <c r="W1075" s="82">
        <v>0</v>
      </c>
      <c r="X1075" s="20">
        <v>0</v>
      </c>
      <c r="Y1075" s="21">
        <v>70</v>
      </c>
      <c r="Z1075" s="21">
        <v>30</v>
      </c>
      <c r="AA1075" s="21">
        <v>0</v>
      </c>
      <c r="AB1075" s="21">
        <v>0</v>
      </c>
      <c r="AC1075" s="16"/>
      <c r="AD1075" s="32"/>
    </row>
    <row r="1076" spans="1:30" x14ac:dyDescent="0.2">
      <c r="A1076" s="17" t="s">
        <v>3921</v>
      </c>
      <c r="B1076" s="17" t="s">
        <v>45</v>
      </c>
      <c r="C1076" s="17">
        <v>2025</v>
      </c>
      <c r="D1076" s="17" t="str">
        <f t="array" ref="D1076">_xlfn.SWITCH(E1076,"Bagor","35.18.14","Sukomoro",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076" s="16" t="s">
        <v>29</v>
      </c>
      <c r="F1076" s="33" t="s">
        <v>2489</v>
      </c>
      <c r="G1076" s="33" t="s">
        <v>2490</v>
      </c>
      <c r="H1076" s="16" t="s">
        <v>31</v>
      </c>
      <c r="I1076" s="16">
        <v>0</v>
      </c>
      <c r="J1076" s="16">
        <v>5</v>
      </c>
      <c r="K1076" s="16">
        <f t="shared" si="18"/>
        <v>5</v>
      </c>
      <c r="L1076" s="18">
        <v>15000000</v>
      </c>
      <c r="M1076" s="17" t="s">
        <v>1367</v>
      </c>
      <c r="N1076" s="18">
        <f>4*12*25</f>
        <v>1200</v>
      </c>
      <c r="O1076" s="16" t="s">
        <v>1368</v>
      </c>
      <c r="P1076" s="70">
        <f>17500*N1076</f>
        <v>21000000</v>
      </c>
      <c r="Q1076" s="17" t="s">
        <v>1468</v>
      </c>
      <c r="R1076" s="18">
        <v>1000</v>
      </c>
      <c r="S1076" s="16" t="s">
        <v>1368</v>
      </c>
      <c r="T1076" s="53">
        <f>R1076*65000</f>
        <v>65000000</v>
      </c>
      <c r="U1076" s="90" t="s">
        <v>22</v>
      </c>
      <c r="V1076" s="81" t="s">
        <v>1370</v>
      </c>
      <c r="W1076" s="82">
        <v>800</v>
      </c>
      <c r="X1076" s="20" t="s">
        <v>1049</v>
      </c>
      <c r="Y1076" s="21">
        <v>100</v>
      </c>
      <c r="Z1076" s="21">
        <v>0</v>
      </c>
      <c r="AA1076" s="21">
        <v>0</v>
      </c>
      <c r="AB1076" s="21">
        <v>0</v>
      </c>
      <c r="AC1076" s="16"/>
      <c r="AD1076" s="32"/>
    </row>
    <row r="1077" spans="1:30" x14ac:dyDescent="0.2">
      <c r="A1077" s="17" t="s">
        <v>3921</v>
      </c>
      <c r="B1077" s="17" t="s">
        <v>45</v>
      </c>
      <c r="C1077" s="17">
        <v>2025</v>
      </c>
      <c r="D1077" s="17" t="str">
        <f t="array" ref="D1077">_xlfn.SWITCH(E1077,"Bagor","35.18.14","Sukomoro",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77" s="16" t="s">
        <v>45</v>
      </c>
      <c r="F1077" s="33" t="s">
        <v>2491</v>
      </c>
      <c r="G1077" s="33" t="s">
        <v>2142</v>
      </c>
      <c r="H1077" s="16" t="s">
        <v>31</v>
      </c>
      <c r="I1077" s="16">
        <v>1</v>
      </c>
      <c r="J1077" s="16">
        <v>2</v>
      </c>
      <c r="K1077" s="16">
        <f t="shared" si="18"/>
        <v>3</v>
      </c>
      <c r="L1077" s="18">
        <v>18000000</v>
      </c>
      <c r="M1077" s="17" t="s">
        <v>190</v>
      </c>
      <c r="N1077" s="18">
        <f>50*25*12</f>
        <v>15000</v>
      </c>
      <c r="O1077" s="16" t="s">
        <v>1398</v>
      </c>
      <c r="P1077" s="30">
        <v>37500000</v>
      </c>
      <c r="Q1077" s="17" t="s">
        <v>2492</v>
      </c>
      <c r="R1077" s="18">
        <f>8*12*30</f>
        <v>2880</v>
      </c>
      <c r="S1077" s="16" t="s">
        <v>422</v>
      </c>
      <c r="T1077" s="53">
        <f>P1077/2</f>
        <v>18750000</v>
      </c>
      <c r="U1077" s="90" t="s">
        <v>22</v>
      </c>
      <c r="V1077" s="81">
        <v>0</v>
      </c>
      <c r="W1077" s="82">
        <v>0</v>
      </c>
      <c r="X1077" s="20">
        <v>0</v>
      </c>
      <c r="Y1077" s="21">
        <v>100</v>
      </c>
      <c r="Z1077" s="21">
        <v>0</v>
      </c>
      <c r="AA1077" s="21">
        <v>0</v>
      </c>
      <c r="AB1077" s="21">
        <v>0</v>
      </c>
      <c r="AC1077" s="16"/>
      <c r="AD1077" s="32"/>
    </row>
    <row r="1078" spans="1:30" x14ac:dyDescent="0.2">
      <c r="A1078" s="17" t="s">
        <v>3921</v>
      </c>
      <c r="B1078" s="17" t="s">
        <v>45</v>
      </c>
      <c r="C1078" s="17">
        <v>2025</v>
      </c>
      <c r="D1078" s="17" t="str">
        <f t="array" ref="D1078">_xlfn.SWITCH(E1078,"Bagor","35.18.14","Sukomoro",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078" s="16" t="s">
        <v>103</v>
      </c>
      <c r="F1078" s="33" t="s">
        <v>2468</v>
      </c>
      <c r="G1078" s="33" t="s">
        <v>2493</v>
      </c>
      <c r="H1078" s="16" t="s">
        <v>31</v>
      </c>
      <c r="I1078" s="16">
        <v>0</v>
      </c>
      <c r="J1078" s="16">
        <v>9</v>
      </c>
      <c r="K1078" s="16">
        <f t="shared" si="18"/>
        <v>9</v>
      </c>
      <c r="L1078" s="18">
        <v>50000000</v>
      </c>
      <c r="M1078" s="17" t="s">
        <v>2494</v>
      </c>
      <c r="N1078" s="18">
        <f>50*25*12</f>
        <v>15000</v>
      </c>
      <c r="O1078" s="16" t="s">
        <v>422</v>
      </c>
      <c r="P1078" s="30">
        <v>150000000</v>
      </c>
      <c r="Q1078" s="17" t="s">
        <v>2495</v>
      </c>
      <c r="R1078" s="18">
        <f>25*12*30</f>
        <v>9000</v>
      </c>
      <c r="S1078" s="16" t="s">
        <v>422</v>
      </c>
      <c r="T1078" s="53">
        <f>P1078/2</f>
        <v>75000000</v>
      </c>
      <c r="U1078" s="90" t="s">
        <v>22</v>
      </c>
      <c r="V1078" s="81">
        <v>0</v>
      </c>
      <c r="W1078" s="82">
        <v>0</v>
      </c>
      <c r="X1078" s="20">
        <v>0</v>
      </c>
      <c r="Y1078" s="21">
        <v>60</v>
      </c>
      <c r="Z1078" s="21">
        <v>20</v>
      </c>
      <c r="AA1078" s="21">
        <v>20</v>
      </c>
      <c r="AB1078" s="21">
        <v>0</v>
      </c>
      <c r="AC1078" s="16"/>
      <c r="AD1078" s="32"/>
    </row>
    <row r="1079" spans="1:30" x14ac:dyDescent="0.2">
      <c r="A1079" s="17" t="s">
        <v>3921</v>
      </c>
      <c r="B1079" s="17" t="s">
        <v>45</v>
      </c>
      <c r="C1079" s="17">
        <v>2025</v>
      </c>
      <c r="D1079" s="17" t="str">
        <f t="array" ref="D1079">_xlfn.SWITCH(E1079,"Bagor","35.18.14","Sukomoro",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1079" s="16" t="s">
        <v>55</v>
      </c>
      <c r="F1079" s="33" t="s">
        <v>2496</v>
      </c>
      <c r="G1079" s="33" t="s">
        <v>2497</v>
      </c>
      <c r="H1079" s="16" t="s">
        <v>31</v>
      </c>
      <c r="I1079" s="16">
        <v>1</v>
      </c>
      <c r="J1079" s="16">
        <v>3</v>
      </c>
      <c r="K1079" s="16">
        <f t="shared" si="18"/>
        <v>4</v>
      </c>
      <c r="L1079" s="18">
        <v>25000000</v>
      </c>
      <c r="M1079" s="17" t="s">
        <v>1367</v>
      </c>
      <c r="N1079" s="18">
        <v>300</v>
      </c>
      <c r="O1079" s="16" t="s">
        <v>1368</v>
      </c>
      <c r="P1079" s="30">
        <f>N1079*300000</f>
        <v>90000000</v>
      </c>
      <c r="Q1079" s="17" t="s">
        <v>1468</v>
      </c>
      <c r="R1079" s="18">
        <v>2500</v>
      </c>
      <c r="S1079" s="16" t="s">
        <v>1368</v>
      </c>
      <c r="T1079" s="53">
        <f>R1079*60000</f>
        <v>150000000</v>
      </c>
      <c r="U1079" s="90" t="s">
        <v>22</v>
      </c>
      <c r="V1079" s="81" t="s">
        <v>1370</v>
      </c>
      <c r="W1079" s="82">
        <v>1500</v>
      </c>
      <c r="X1079" s="20" t="s">
        <v>1049</v>
      </c>
      <c r="Y1079" s="21">
        <v>70</v>
      </c>
      <c r="Z1079" s="21">
        <v>30</v>
      </c>
      <c r="AA1079" s="21">
        <v>0</v>
      </c>
      <c r="AB1079" s="21">
        <v>0</v>
      </c>
      <c r="AC1079" s="16"/>
      <c r="AD1079" s="32"/>
    </row>
    <row r="1080" spans="1:30" x14ac:dyDescent="0.2">
      <c r="A1080" s="17" t="s">
        <v>3921</v>
      </c>
      <c r="B1080" s="17" t="s">
        <v>45</v>
      </c>
      <c r="C1080" s="17">
        <v>2025</v>
      </c>
      <c r="D1080" s="17" t="str">
        <f t="array" ref="D1080">_xlfn.SWITCH(E1080,"Jatikalen","35.18.20","Kertosono", "35.18.08","Lengkong","35.18.19","Loceret","35.18.04","Tanjunganom","35.18.11","Wilangan","35.18.15")</f>
        <v>35.18.20</v>
      </c>
      <c r="E1080" s="16" t="s">
        <v>1083</v>
      </c>
      <c r="F1080" s="33" t="s">
        <v>2498</v>
      </c>
      <c r="G1080" s="33" t="s">
        <v>2483</v>
      </c>
      <c r="H1080" s="16" t="s">
        <v>31</v>
      </c>
      <c r="I1080" s="16">
        <v>1</v>
      </c>
      <c r="J1080" s="16">
        <v>2</v>
      </c>
      <c r="K1080" s="16">
        <f t="shared" si="18"/>
        <v>3</v>
      </c>
      <c r="L1080" s="18">
        <v>3500000</v>
      </c>
      <c r="M1080" s="17" t="s">
        <v>2483</v>
      </c>
      <c r="N1080" s="18">
        <f>15*25*12</f>
        <v>4500</v>
      </c>
      <c r="O1080" s="16" t="s">
        <v>1398</v>
      </c>
      <c r="P1080" s="30">
        <f>7500*N1080</f>
        <v>33750000</v>
      </c>
      <c r="Q1080" s="17" t="s">
        <v>1946</v>
      </c>
      <c r="R1080" s="18">
        <f>15*12*30</f>
        <v>5400</v>
      </c>
      <c r="S1080" s="16" t="s">
        <v>1398</v>
      </c>
      <c r="T1080" s="53">
        <f t="shared" ref="T1080:T1091" si="20">P1080/2</f>
        <v>16875000</v>
      </c>
      <c r="U1080" s="90" t="s">
        <v>22</v>
      </c>
      <c r="V1080" s="81">
        <v>0</v>
      </c>
      <c r="W1080" s="82">
        <v>0</v>
      </c>
      <c r="X1080" s="20">
        <v>0</v>
      </c>
      <c r="Y1080" s="21">
        <v>85</v>
      </c>
      <c r="Z1080" s="21">
        <v>15</v>
      </c>
      <c r="AA1080" s="21">
        <v>0</v>
      </c>
      <c r="AB1080" s="21">
        <v>0</v>
      </c>
      <c r="AC1080" s="16"/>
      <c r="AD1080" s="32"/>
    </row>
    <row r="1081" spans="1:30" x14ac:dyDescent="0.2">
      <c r="A1081" s="17" t="s">
        <v>3921</v>
      </c>
      <c r="B1081" s="17" t="s">
        <v>45</v>
      </c>
      <c r="C1081" s="17">
        <v>2025</v>
      </c>
      <c r="D1081" s="17" t="str">
        <f t="array" ref="D1081">_xlfn.SWITCH(E1081,"Bagor","35.18.14","Sukomoro",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1" s="16" t="s">
        <v>45</v>
      </c>
      <c r="F1081" s="33" t="s">
        <v>2499</v>
      </c>
      <c r="G1081" s="33" t="s">
        <v>2500</v>
      </c>
      <c r="H1081" s="16" t="s">
        <v>31</v>
      </c>
      <c r="I1081" s="16">
        <v>1</v>
      </c>
      <c r="J1081" s="16">
        <v>2</v>
      </c>
      <c r="K1081" s="16">
        <f t="shared" si="18"/>
        <v>3</v>
      </c>
      <c r="L1081" s="18">
        <v>5000000</v>
      </c>
      <c r="M1081" s="17" t="s">
        <v>2501</v>
      </c>
      <c r="N1081" s="18">
        <f>10*25*12</f>
        <v>3000</v>
      </c>
      <c r="O1081" s="16" t="s">
        <v>1420</v>
      </c>
      <c r="P1081" s="30">
        <v>45000000</v>
      </c>
      <c r="Q1081" s="17" t="s">
        <v>2502</v>
      </c>
      <c r="R1081" s="18">
        <f>5*12*30</f>
        <v>1800</v>
      </c>
      <c r="S1081" s="16" t="s">
        <v>422</v>
      </c>
      <c r="T1081" s="53">
        <f t="shared" si="20"/>
        <v>22500000</v>
      </c>
      <c r="U1081" s="90" t="s">
        <v>22</v>
      </c>
      <c r="V1081" s="81">
        <v>0</v>
      </c>
      <c r="W1081" s="82">
        <v>0</v>
      </c>
      <c r="X1081" s="20">
        <v>0</v>
      </c>
      <c r="Y1081" s="21">
        <v>80</v>
      </c>
      <c r="Z1081" s="21">
        <v>20</v>
      </c>
      <c r="AA1081" s="21">
        <v>0</v>
      </c>
      <c r="AB1081" s="21">
        <v>0</v>
      </c>
      <c r="AC1081" s="16"/>
      <c r="AD1081" s="32"/>
    </row>
    <row r="1082" spans="1:30" ht="20" x14ac:dyDescent="0.2">
      <c r="A1082" s="17" t="s">
        <v>3921</v>
      </c>
      <c r="B1082" s="17" t="s">
        <v>45</v>
      </c>
      <c r="C1082" s="17">
        <v>2025</v>
      </c>
      <c r="D1082" s="17" t="str">
        <f t="array" ref="D1082">_xlfn.SWITCH(E1082,"Bagor","35.18.14","Sukomoro",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2" s="16" t="s">
        <v>45</v>
      </c>
      <c r="F1082" s="33" t="s">
        <v>2503</v>
      </c>
      <c r="G1082" s="33" t="s">
        <v>2103</v>
      </c>
      <c r="H1082" s="16" t="s">
        <v>31</v>
      </c>
      <c r="I1082" s="16">
        <v>1</v>
      </c>
      <c r="J1082" s="16">
        <v>1</v>
      </c>
      <c r="K1082" s="16">
        <f t="shared" si="18"/>
        <v>2</v>
      </c>
      <c r="L1082" s="18">
        <v>15000000</v>
      </c>
      <c r="M1082" s="17" t="s">
        <v>2461</v>
      </c>
      <c r="N1082" s="18">
        <f>10*25*12</f>
        <v>3000</v>
      </c>
      <c r="O1082" s="16" t="s">
        <v>1398</v>
      </c>
      <c r="P1082" s="30">
        <v>20000000</v>
      </c>
      <c r="Q1082" s="17" t="s">
        <v>1468</v>
      </c>
      <c r="R1082" s="18">
        <f>20*12*30</f>
        <v>7200</v>
      </c>
      <c r="S1082" s="16" t="s">
        <v>1368</v>
      </c>
      <c r="T1082" s="53">
        <f t="shared" si="20"/>
        <v>10000000</v>
      </c>
      <c r="U1082" s="90" t="s">
        <v>22</v>
      </c>
      <c r="V1082" s="81">
        <v>0</v>
      </c>
      <c r="W1082" s="82">
        <v>0</v>
      </c>
      <c r="X1082" s="20">
        <v>0</v>
      </c>
      <c r="Y1082" s="21">
        <v>80</v>
      </c>
      <c r="Z1082" s="21">
        <v>20</v>
      </c>
      <c r="AA1082" s="21">
        <v>0</v>
      </c>
      <c r="AB1082" s="21">
        <v>0</v>
      </c>
      <c r="AC1082" s="16"/>
      <c r="AD1082" s="32"/>
    </row>
    <row r="1083" spans="1:30" x14ac:dyDescent="0.2">
      <c r="A1083" s="17" t="s">
        <v>3921</v>
      </c>
      <c r="B1083" s="17" t="s">
        <v>45</v>
      </c>
      <c r="C1083" s="17">
        <v>2025</v>
      </c>
      <c r="D1083" s="17" t="str">
        <f t="array" ref="D1083">_xlfn.SWITCH(E1083,"Bagor","35.18.14","Sukomoro",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083" s="16" t="s">
        <v>124</v>
      </c>
      <c r="F1083" s="33" t="s">
        <v>1550</v>
      </c>
      <c r="G1083" s="33" t="s">
        <v>2504</v>
      </c>
      <c r="H1083" s="16" t="s">
        <v>31</v>
      </c>
      <c r="I1083" s="16">
        <v>1</v>
      </c>
      <c r="J1083" s="16">
        <v>2</v>
      </c>
      <c r="K1083" s="16">
        <f t="shared" si="18"/>
        <v>3</v>
      </c>
      <c r="L1083" s="18">
        <v>11050000</v>
      </c>
      <c r="M1083" s="17" t="s">
        <v>1478</v>
      </c>
      <c r="N1083" s="18">
        <f>10*25*12</f>
        <v>3000</v>
      </c>
      <c r="O1083" s="16" t="s">
        <v>422</v>
      </c>
      <c r="P1083" s="30">
        <v>75000000</v>
      </c>
      <c r="Q1083" s="17" t="s">
        <v>1601</v>
      </c>
      <c r="R1083" s="18">
        <f>12*12*20</f>
        <v>2880</v>
      </c>
      <c r="S1083" s="16" t="s">
        <v>422</v>
      </c>
      <c r="T1083" s="53">
        <f t="shared" si="20"/>
        <v>37500000</v>
      </c>
      <c r="U1083" s="90" t="s">
        <v>22</v>
      </c>
      <c r="V1083" s="81">
        <v>0</v>
      </c>
      <c r="W1083" s="82">
        <v>0</v>
      </c>
      <c r="X1083" s="20">
        <v>0</v>
      </c>
      <c r="Y1083" s="21">
        <v>85</v>
      </c>
      <c r="Z1083" s="21">
        <v>15</v>
      </c>
      <c r="AA1083" s="21">
        <v>0</v>
      </c>
      <c r="AB1083" s="21">
        <v>0</v>
      </c>
      <c r="AC1083" s="16"/>
      <c r="AD1083" s="32"/>
    </row>
    <row r="1084" spans="1:30" x14ac:dyDescent="0.2">
      <c r="A1084" s="17" t="s">
        <v>3921</v>
      </c>
      <c r="B1084" s="17" t="s">
        <v>45</v>
      </c>
      <c r="C1084" s="17">
        <v>2025</v>
      </c>
      <c r="D1084" s="17" t="str">
        <f t="array" ref="D1084">_xlfn.SWITCH(E1084,"Bagor","35.18.14","Sukomoro",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4" s="16" t="s">
        <v>45</v>
      </c>
      <c r="F1084" s="33" t="s">
        <v>2505</v>
      </c>
      <c r="G1084" s="33" t="s">
        <v>2506</v>
      </c>
      <c r="H1084" s="16" t="s">
        <v>31</v>
      </c>
      <c r="I1084" s="16">
        <v>1</v>
      </c>
      <c r="J1084" s="16">
        <v>3</v>
      </c>
      <c r="K1084" s="16">
        <f t="shared" si="18"/>
        <v>4</v>
      </c>
      <c r="L1084" s="18">
        <v>7000000</v>
      </c>
      <c r="M1084" s="17" t="s">
        <v>2459</v>
      </c>
      <c r="N1084" s="18">
        <f>10*26*12</f>
        <v>3120</v>
      </c>
      <c r="O1084" s="16" t="s">
        <v>1398</v>
      </c>
      <c r="P1084" s="30">
        <v>78000000</v>
      </c>
      <c r="Q1084" s="17" t="s">
        <v>2434</v>
      </c>
      <c r="R1084" s="92">
        <f>10*12*30</f>
        <v>3600</v>
      </c>
      <c r="S1084" s="16" t="s">
        <v>422</v>
      </c>
      <c r="T1084" s="53">
        <f t="shared" si="20"/>
        <v>39000000</v>
      </c>
      <c r="U1084" s="90" t="s">
        <v>22</v>
      </c>
      <c r="V1084" s="81">
        <v>0</v>
      </c>
      <c r="W1084" s="82">
        <v>0</v>
      </c>
      <c r="X1084" s="20">
        <v>0</v>
      </c>
      <c r="Y1084" s="21">
        <v>100</v>
      </c>
      <c r="Z1084" s="21">
        <v>0</v>
      </c>
      <c r="AA1084" s="21">
        <v>0</v>
      </c>
      <c r="AB1084" s="21">
        <v>0</v>
      </c>
      <c r="AC1084" s="16"/>
      <c r="AD1084" s="32"/>
    </row>
    <row r="1085" spans="1:30" x14ac:dyDescent="0.2">
      <c r="A1085" s="17" t="s">
        <v>3921</v>
      </c>
      <c r="B1085" s="17" t="s">
        <v>45</v>
      </c>
      <c r="C1085" s="17">
        <v>2025</v>
      </c>
      <c r="D1085" s="17" t="str">
        <f t="array" ref="D1085">_xlfn.SWITCH(E1085,"Bagor","35.18.14","Sukomoro",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085" s="16" t="s">
        <v>92</v>
      </c>
      <c r="F1085" s="33" t="s">
        <v>1496</v>
      </c>
      <c r="G1085" s="33" t="s">
        <v>2507</v>
      </c>
      <c r="H1085" s="16" t="s">
        <v>31</v>
      </c>
      <c r="I1085" s="16">
        <v>2</v>
      </c>
      <c r="J1085" s="16">
        <v>3</v>
      </c>
      <c r="K1085" s="16">
        <f t="shared" si="18"/>
        <v>5</v>
      </c>
      <c r="L1085" s="18">
        <v>5000000</v>
      </c>
      <c r="M1085" s="17" t="s">
        <v>1478</v>
      </c>
      <c r="N1085" s="18">
        <f>10*25*12</f>
        <v>3000</v>
      </c>
      <c r="O1085" s="16" t="s">
        <v>422</v>
      </c>
      <c r="P1085" s="30">
        <v>45000000</v>
      </c>
      <c r="Q1085" s="17" t="s">
        <v>2508</v>
      </c>
      <c r="R1085" s="18">
        <f>15*12*30</f>
        <v>5400</v>
      </c>
      <c r="S1085" s="16" t="s">
        <v>422</v>
      </c>
      <c r="T1085" s="53">
        <f t="shared" si="20"/>
        <v>22500000</v>
      </c>
      <c r="U1085" s="90" t="s">
        <v>22</v>
      </c>
      <c r="V1085" s="81">
        <v>0</v>
      </c>
      <c r="W1085" s="82">
        <v>0</v>
      </c>
      <c r="X1085" s="20">
        <v>0</v>
      </c>
      <c r="Y1085" s="21">
        <v>100</v>
      </c>
      <c r="Z1085" s="21">
        <v>0</v>
      </c>
      <c r="AA1085" s="21">
        <v>0</v>
      </c>
      <c r="AB1085" s="21">
        <v>0</v>
      </c>
      <c r="AC1085" s="16"/>
      <c r="AD1085" s="32"/>
    </row>
    <row r="1086" spans="1:30" ht="20" x14ac:dyDescent="0.2">
      <c r="A1086" s="17" t="s">
        <v>3921</v>
      </c>
      <c r="B1086" s="17" t="s">
        <v>45</v>
      </c>
      <c r="C1086" s="17">
        <v>2025</v>
      </c>
      <c r="D1086" s="17" t="str">
        <f t="array" ref="D1086">_xlfn.SWITCH(E1086,"Bagor","35.18.14","Sukomoro",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6" s="16" t="s">
        <v>45</v>
      </c>
      <c r="F1086" s="33" t="s">
        <v>2509</v>
      </c>
      <c r="G1086" s="33" t="s">
        <v>2481</v>
      </c>
      <c r="H1086" s="16" t="s">
        <v>31</v>
      </c>
      <c r="I1086" s="16">
        <v>2</v>
      </c>
      <c r="J1086" s="16">
        <v>4</v>
      </c>
      <c r="K1086" s="16">
        <f t="shared" si="18"/>
        <v>6</v>
      </c>
      <c r="L1086" s="18">
        <v>8000000</v>
      </c>
      <c r="M1086" s="17" t="s">
        <v>190</v>
      </c>
      <c r="N1086" s="18">
        <f>10*25*12</f>
        <v>3000</v>
      </c>
      <c r="O1086" s="16" t="s">
        <v>422</v>
      </c>
      <c r="P1086" s="30">
        <v>90000000</v>
      </c>
      <c r="Q1086" s="17" t="s">
        <v>2434</v>
      </c>
      <c r="R1086" s="18">
        <f>10*12*20</f>
        <v>2400</v>
      </c>
      <c r="S1086" s="16" t="s">
        <v>422</v>
      </c>
      <c r="T1086" s="53">
        <f t="shared" si="20"/>
        <v>45000000</v>
      </c>
      <c r="U1086" s="90" t="s">
        <v>22</v>
      </c>
      <c r="V1086" s="81">
        <v>0</v>
      </c>
      <c r="W1086" s="82">
        <v>0</v>
      </c>
      <c r="X1086" s="20">
        <v>0</v>
      </c>
      <c r="Y1086" s="21">
        <v>80</v>
      </c>
      <c r="Z1086" s="21">
        <v>20</v>
      </c>
      <c r="AA1086" s="21">
        <v>0</v>
      </c>
      <c r="AB1086" s="21">
        <v>0</v>
      </c>
      <c r="AC1086" s="16"/>
      <c r="AD1086" s="32"/>
    </row>
    <row r="1087" spans="1:30" x14ac:dyDescent="0.2">
      <c r="A1087" s="17" t="s">
        <v>3921</v>
      </c>
      <c r="B1087" s="17" t="s">
        <v>45</v>
      </c>
      <c r="C1087" s="17">
        <v>2025</v>
      </c>
      <c r="D1087" s="17" t="str">
        <f t="array" ref="D1087">_xlfn.SWITCH(E1087,"Bagor","35.18.14","Sukomoro",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087" s="16" t="s">
        <v>188</v>
      </c>
      <c r="F1087" s="33" t="s">
        <v>2510</v>
      </c>
      <c r="G1087" s="33" t="s">
        <v>2511</v>
      </c>
      <c r="H1087" s="16" t="s">
        <v>31</v>
      </c>
      <c r="I1087" s="16">
        <v>1</v>
      </c>
      <c r="J1087" s="16">
        <v>2</v>
      </c>
      <c r="K1087" s="16">
        <f t="shared" si="18"/>
        <v>3</v>
      </c>
      <c r="L1087" s="18">
        <v>10000000</v>
      </c>
      <c r="M1087" s="17" t="s">
        <v>2464</v>
      </c>
      <c r="N1087" s="18">
        <f>15*25*12</f>
        <v>4500</v>
      </c>
      <c r="O1087" s="16" t="s">
        <v>1420</v>
      </c>
      <c r="P1087" s="30">
        <v>31500000</v>
      </c>
      <c r="Q1087" s="17" t="s">
        <v>2512</v>
      </c>
      <c r="R1087" s="18">
        <f>10*12*25</f>
        <v>3000</v>
      </c>
      <c r="S1087" s="16" t="s">
        <v>422</v>
      </c>
      <c r="T1087" s="53">
        <f t="shared" si="20"/>
        <v>15750000</v>
      </c>
      <c r="U1087" s="90" t="s">
        <v>22</v>
      </c>
      <c r="V1087" s="81">
        <v>0</v>
      </c>
      <c r="W1087" s="82">
        <v>0</v>
      </c>
      <c r="X1087" s="20">
        <v>0</v>
      </c>
      <c r="Y1087" s="21">
        <v>80</v>
      </c>
      <c r="Z1087" s="21">
        <v>20</v>
      </c>
      <c r="AA1087" s="21">
        <v>0</v>
      </c>
      <c r="AB1087" s="21">
        <v>0</v>
      </c>
      <c r="AC1087" s="16"/>
      <c r="AD1087" s="32"/>
    </row>
    <row r="1088" spans="1:30" x14ac:dyDescent="0.2">
      <c r="A1088" s="17" t="s">
        <v>3921</v>
      </c>
      <c r="B1088" s="17" t="s">
        <v>45</v>
      </c>
      <c r="C1088" s="17">
        <v>2025</v>
      </c>
      <c r="D1088" s="17" t="str">
        <f t="array" ref="D1088">_xlfn.SWITCH(E1088,"Jatikalen","35.18.20","Kertosono", "35.18.08","Lengkong","35.18.19","Loceret","35.18.04","Tanjunganom","35.18.11","Wilangan","35.18.15")</f>
        <v>35.18.04</v>
      </c>
      <c r="E1088" s="16" t="s">
        <v>41</v>
      </c>
      <c r="F1088" s="33" t="s">
        <v>2513</v>
      </c>
      <c r="G1088" s="33" t="s">
        <v>2514</v>
      </c>
      <c r="H1088" s="16" t="s">
        <v>31</v>
      </c>
      <c r="I1088" s="16">
        <v>0</v>
      </c>
      <c r="J1088" s="16">
        <v>2</v>
      </c>
      <c r="K1088" s="16">
        <f t="shared" si="18"/>
        <v>2</v>
      </c>
      <c r="L1088" s="18">
        <v>8000000</v>
      </c>
      <c r="M1088" s="17" t="s">
        <v>2515</v>
      </c>
      <c r="N1088" s="18">
        <f>20*25*12</f>
        <v>6000</v>
      </c>
      <c r="O1088" s="16" t="s">
        <v>35</v>
      </c>
      <c r="P1088" s="30">
        <v>90000000</v>
      </c>
      <c r="Q1088" s="17" t="s">
        <v>1601</v>
      </c>
      <c r="R1088" s="18">
        <f>20*12*20</f>
        <v>4800</v>
      </c>
      <c r="S1088" s="16" t="s">
        <v>422</v>
      </c>
      <c r="T1088" s="53">
        <f t="shared" si="20"/>
        <v>45000000</v>
      </c>
      <c r="U1088" s="90" t="s">
        <v>22</v>
      </c>
      <c r="V1088" s="81">
        <v>0</v>
      </c>
      <c r="W1088" s="82">
        <v>0</v>
      </c>
      <c r="X1088" s="20">
        <v>0</v>
      </c>
      <c r="Y1088" s="21">
        <v>80</v>
      </c>
      <c r="Z1088" s="21">
        <v>20</v>
      </c>
      <c r="AA1088" s="21">
        <v>0</v>
      </c>
      <c r="AB1088" s="21">
        <v>0</v>
      </c>
      <c r="AC1088" s="16"/>
      <c r="AD1088" s="32"/>
    </row>
    <row r="1089" spans="1:30" x14ac:dyDescent="0.2">
      <c r="A1089" s="17" t="s">
        <v>3921</v>
      </c>
      <c r="B1089" s="17" t="s">
        <v>45</v>
      </c>
      <c r="C1089" s="17">
        <v>2025</v>
      </c>
      <c r="D1089" s="17" t="str">
        <f t="array" ref="D1089">_xlfn.SWITCH(E1089,"Bagor","35.18.14","Sukomoro",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9" s="16" t="s">
        <v>45</v>
      </c>
      <c r="F1089" s="33" t="s">
        <v>2516</v>
      </c>
      <c r="G1089" s="33" t="s">
        <v>2517</v>
      </c>
      <c r="H1089" s="16" t="s">
        <v>31</v>
      </c>
      <c r="I1089" s="16">
        <v>0</v>
      </c>
      <c r="J1089" s="16">
        <v>2</v>
      </c>
      <c r="K1089" s="16">
        <f t="shared" si="18"/>
        <v>2</v>
      </c>
      <c r="L1089" s="18">
        <v>8000000</v>
      </c>
      <c r="M1089" s="17" t="s">
        <v>190</v>
      </c>
      <c r="N1089" s="18">
        <f>15*12*20</f>
        <v>3600</v>
      </c>
      <c r="O1089" s="16" t="s">
        <v>422</v>
      </c>
      <c r="P1089" s="30">
        <v>72000000</v>
      </c>
      <c r="Q1089" s="17" t="s">
        <v>2518</v>
      </c>
      <c r="R1089" s="18">
        <f>10*12*30</f>
        <v>3600</v>
      </c>
      <c r="S1089" s="16" t="s">
        <v>422</v>
      </c>
      <c r="T1089" s="53">
        <f t="shared" si="20"/>
        <v>36000000</v>
      </c>
      <c r="U1089" s="90" t="s">
        <v>22</v>
      </c>
      <c r="V1089" s="81">
        <v>0</v>
      </c>
      <c r="W1089" s="82">
        <v>0</v>
      </c>
      <c r="X1089" s="20">
        <v>0</v>
      </c>
      <c r="Y1089" s="21">
        <v>80</v>
      </c>
      <c r="Z1089" s="21">
        <v>20</v>
      </c>
      <c r="AA1089" s="21">
        <v>0</v>
      </c>
      <c r="AB1089" s="21">
        <v>0</v>
      </c>
      <c r="AC1089" s="16"/>
      <c r="AD1089" s="32"/>
    </row>
    <row r="1090" spans="1:30" x14ac:dyDescent="0.2">
      <c r="A1090" s="17" t="s">
        <v>3921</v>
      </c>
      <c r="B1090" s="17" t="s">
        <v>45</v>
      </c>
      <c r="C1090" s="17">
        <v>2025</v>
      </c>
      <c r="D1090" s="17" t="str">
        <f t="array" ref="D1090">_xlfn.SWITCH(E1090,"Jatikalen","35.18.20","Kertosono", "35.18.08","Lengkong","35.18.19","Loceret","35.18.04","Tanjunganom","35.18.11","Wilangan","35.18.15")</f>
        <v>35.18.11</v>
      </c>
      <c r="E1090" s="16" t="s">
        <v>60</v>
      </c>
      <c r="F1090" s="33" t="s">
        <v>2519</v>
      </c>
      <c r="G1090" s="33" t="s">
        <v>2520</v>
      </c>
      <c r="H1090" s="16" t="s">
        <v>31</v>
      </c>
      <c r="I1090" s="16">
        <v>1</v>
      </c>
      <c r="J1090" s="16">
        <v>2</v>
      </c>
      <c r="K1090" s="16">
        <f t="shared" ref="K1090:K1153" si="21">I1090+J1090</f>
        <v>3</v>
      </c>
      <c r="L1090" s="18">
        <v>5000000</v>
      </c>
      <c r="M1090" s="17" t="s">
        <v>2520</v>
      </c>
      <c r="N1090" s="18">
        <f>20*25*12</f>
        <v>6000</v>
      </c>
      <c r="O1090" s="16" t="s">
        <v>2521</v>
      </c>
      <c r="P1090" s="30">
        <v>18000000</v>
      </c>
      <c r="Q1090" s="17" t="s">
        <v>2434</v>
      </c>
      <c r="R1090" s="18">
        <f>10*12*30</f>
        <v>3600</v>
      </c>
      <c r="S1090" s="16" t="s">
        <v>422</v>
      </c>
      <c r="T1090" s="53">
        <f t="shared" si="20"/>
        <v>9000000</v>
      </c>
      <c r="U1090" s="90" t="s">
        <v>22</v>
      </c>
      <c r="V1090" s="81">
        <v>0</v>
      </c>
      <c r="W1090" s="82">
        <v>0</v>
      </c>
      <c r="X1090" s="20">
        <v>0</v>
      </c>
      <c r="Y1090" s="21">
        <v>100</v>
      </c>
      <c r="Z1090" s="21">
        <v>0</v>
      </c>
      <c r="AA1090" s="21">
        <v>0</v>
      </c>
      <c r="AB1090" s="21">
        <v>0</v>
      </c>
      <c r="AC1090" s="16"/>
      <c r="AD1090" s="32"/>
    </row>
    <row r="1091" spans="1:30" x14ac:dyDescent="0.2">
      <c r="A1091" s="17" t="s">
        <v>3921</v>
      </c>
      <c r="B1091" s="17" t="s">
        <v>45</v>
      </c>
      <c r="C1091" s="17">
        <v>2025</v>
      </c>
      <c r="D1091" s="17" t="str">
        <f t="array" ref="D1091">_xlfn.SWITCH(E1091,"Bagor","35.18.14","Sukomoro",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091" s="16" t="s">
        <v>103</v>
      </c>
      <c r="F1091" s="33" t="s">
        <v>2522</v>
      </c>
      <c r="G1091" s="33" t="s">
        <v>1478</v>
      </c>
      <c r="H1091" s="16" t="s">
        <v>31</v>
      </c>
      <c r="I1091" s="16">
        <v>1</v>
      </c>
      <c r="J1091" s="16">
        <v>2</v>
      </c>
      <c r="K1091" s="16">
        <f t="shared" si="21"/>
        <v>3</v>
      </c>
      <c r="L1091" s="18">
        <v>8500000</v>
      </c>
      <c r="M1091" s="17" t="s">
        <v>1478</v>
      </c>
      <c r="N1091" s="18">
        <f>20*25*12</f>
        <v>6000</v>
      </c>
      <c r="O1091" s="16" t="s">
        <v>422</v>
      </c>
      <c r="P1091" s="30">
        <v>36000000</v>
      </c>
      <c r="Q1091" s="17" t="s">
        <v>1601</v>
      </c>
      <c r="R1091" s="18">
        <f>8*12*25</f>
        <v>2400</v>
      </c>
      <c r="S1091" s="16" t="s">
        <v>422</v>
      </c>
      <c r="T1091" s="53">
        <f t="shared" si="20"/>
        <v>18000000</v>
      </c>
      <c r="U1091" s="90" t="s">
        <v>22</v>
      </c>
      <c r="V1091" s="81">
        <v>0</v>
      </c>
      <c r="W1091" s="82">
        <v>0</v>
      </c>
      <c r="X1091" s="20">
        <v>0</v>
      </c>
      <c r="Y1091" s="21">
        <v>85</v>
      </c>
      <c r="Z1091" s="21">
        <v>15</v>
      </c>
      <c r="AA1091" s="21">
        <v>0</v>
      </c>
      <c r="AB1091" s="21">
        <v>0</v>
      </c>
      <c r="AC1091" s="16"/>
      <c r="AD1091" s="32"/>
    </row>
    <row r="1092" spans="1:30" x14ac:dyDescent="0.2">
      <c r="A1092" s="17" t="s">
        <v>3921</v>
      </c>
      <c r="B1092" s="17" t="s">
        <v>45</v>
      </c>
      <c r="C1092" s="17">
        <v>2025</v>
      </c>
      <c r="D1092" s="17" t="str">
        <f t="array" ref="D1092">_xlfn.SWITCH(E1092,"Jatikalen","35.18.20","Kertosono", "35.18.08","Lengkong","35.18.19","Loceret","35.18.04","Tanjunganom","35.18.11","Wilangan","35.18.15")</f>
        <v>35.18.04</v>
      </c>
      <c r="E1092" s="16" t="s">
        <v>41</v>
      </c>
      <c r="F1092" s="33" t="s">
        <v>2523</v>
      </c>
      <c r="G1092" s="33" t="s">
        <v>2524</v>
      </c>
      <c r="H1092" s="16" t="s">
        <v>31</v>
      </c>
      <c r="I1092" s="16">
        <v>1</v>
      </c>
      <c r="J1092" s="16">
        <v>3</v>
      </c>
      <c r="K1092" s="16">
        <f t="shared" si="21"/>
        <v>4</v>
      </c>
      <c r="L1092" s="18">
        <v>15000000</v>
      </c>
      <c r="M1092" s="17" t="s">
        <v>1367</v>
      </c>
      <c r="N1092" s="18">
        <f>4*25*12</f>
        <v>1200</v>
      </c>
      <c r="O1092" s="16" t="s">
        <v>1368</v>
      </c>
      <c r="P1092" s="30">
        <f>N1092*175000</f>
        <v>210000000</v>
      </c>
      <c r="Q1092" s="17" t="s">
        <v>1468</v>
      </c>
      <c r="R1092" s="18">
        <v>1000</v>
      </c>
      <c r="S1092" s="16" t="s">
        <v>1368</v>
      </c>
      <c r="T1092" s="53">
        <f>R1092*60000</f>
        <v>60000000</v>
      </c>
      <c r="U1092" s="90" t="s">
        <v>22</v>
      </c>
      <c r="V1092" s="81" t="s">
        <v>1370</v>
      </c>
      <c r="W1092" s="82">
        <v>800</v>
      </c>
      <c r="X1092" s="20" t="s">
        <v>1049</v>
      </c>
      <c r="Y1092" s="21">
        <v>85</v>
      </c>
      <c r="Z1092" s="21">
        <v>15</v>
      </c>
      <c r="AA1092" s="21">
        <v>0</v>
      </c>
      <c r="AB1092" s="21">
        <v>0</v>
      </c>
      <c r="AC1092" s="16"/>
      <c r="AD1092" s="32"/>
    </row>
    <row r="1093" spans="1:30" x14ac:dyDescent="0.2">
      <c r="A1093" s="17" t="s">
        <v>3921</v>
      </c>
      <c r="B1093" s="17" t="s">
        <v>45</v>
      </c>
      <c r="C1093" s="17">
        <v>2025</v>
      </c>
      <c r="D1093" s="17" t="str">
        <f t="array" ref="D1093">_xlfn.SWITCH(E1093,"Bagor","35.18.14","Sukomoro",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3" s="16" t="str">
        <f>E1054</f>
        <v>Baron</v>
      </c>
      <c r="F1093" s="33" t="s">
        <v>2525</v>
      </c>
      <c r="G1093" s="33" t="s">
        <v>2520</v>
      </c>
      <c r="H1093" s="16" t="s">
        <v>31</v>
      </c>
      <c r="I1093" s="16">
        <v>1</v>
      </c>
      <c r="J1093" s="16">
        <v>2</v>
      </c>
      <c r="K1093" s="16">
        <f t="shared" si="21"/>
        <v>3</v>
      </c>
      <c r="L1093" s="18">
        <v>8000000</v>
      </c>
      <c r="M1093" s="17" t="s">
        <v>2520</v>
      </c>
      <c r="N1093" s="18">
        <f>100*25*12</f>
        <v>30000</v>
      </c>
      <c r="O1093" s="16" t="s">
        <v>2521</v>
      </c>
      <c r="P1093" s="30">
        <v>60000000</v>
      </c>
      <c r="Q1093" s="17" t="s">
        <v>2434</v>
      </c>
      <c r="R1093" s="18">
        <f>15*30*12</f>
        <v>5400</v>
      </c>
      <c r="S1093" s="16" t="s">
        <v>422</v>
      </c>
      <c r="T1093" s="53">
        <f t="shared" ref="T1093:T1124" si="22">P1093/2</f>
        <v>30000000</v>
      </c>
      <c r="U1093" s="90" t="s">
        <v>22</v>
      </c>
      <c r="V1093" s="81">
        <v>0</v>
      </c>
      <c r="W1093" s="82">
        <v>0</v>
      </c>
      <c r="X1093" s="20">
        <v>0</v>
      </c>
      <c r="Y1093" s="16">
        <v>100</v>
      </c>
      <c r="Z1093" s="16">
        <v>0</v>
      </c>
      <c r="AA1093" s="21">
        <v>0</v>
      </c>
      <c r="AB1093" s="21">
        <v>0</v>
      </c>
      <c r="AC1093" s="16"/>
      <c r="AD1093" s="32"/>
    </row>
    <row r="1094" spans="1:30" x14ac:dyDescent="0.2">
      <c r="A1094" s="17" t="s">
        <v>3921</v>
      </c>
      <c r="B1094" s="17" t="s">
        <v>45</v>
      </c>
      <c r="C1094" s="17">
        <v>2025</v>
      </c>
      <c r="D1094" s="17" t="str">
        <f t="array" ref="D1094">_xlfn.SWITCH(E1094,"Bagor","35.18.14","Sukomoro",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4" s="16" t="str">
        <f t="shared" ref="E1094:E1103" si="23">E1093</f>
        <v>Baron</v>
      </c>
      <c r="F1094" s="33" t="s">
        <v>2526</v>
      </c>
      <c r="G1094" s="33" t="s">
        <v>2520</v>
      </c>
      <c r="H1094" s="16" t="s">
        <v>31</v>
      </c>
      <c r="I1094" s="16">
        <v>1</v>
      </c>
      <c r="J1094" s="16">
        <v>3</v>
      </c>
      <c r="K1094" s="16">
        <f t="shared" si="21"/>
        <v>4</v>
      </c>
      <c r="L1094" s="18">
        <v>4000000</v>
      </c>
      <c r="M1094" s="17" t="s">
        <v>2520</v>
      </c>
      <c r="N1094" s="18">
        <f>150*25*12</f>
        <v>45000</v>
      </c>
      <c r="O1094" s="16" t="s">
        <v>2521</v>
      </c>
      <c r="P1094" s="30">
        <v>45000000</v>
      </c>
      <c r="Q1094" s="17" t="s">
        <v>2434</v>
      </c>
      <c r="R1094" s="18">
        <f>7*30*12</f>
        <v>2520</v>
      </c>
      <c r="S1094" s="16" t="s">
        <v>422</v>
      </c>
      <c r="T1094" s="53">
        <f t="shared" si="22"/>
        <v>22500000</v>
      </c>
      <c r="U1094" s="90" t="s">
        <v>22</v>
      </c>
      <c r="V1094" s="81">
        <v>0</v>
      </c>
      <c r="W1094" s="82">
        <v>0</v>
      </c>
      <c r="X1094" s="20">
        <v>0</v>
      </c>
      <c r="Y1094" s="16">
        <v>100</v>
      </c>
      <c r="Z1094" s="16">
        <v>0</v>
      </c>
      <c r="AA1094" s="16">
        <v>0</v>
      </c>
      <c r="AB1094" s="16">
        <v>0</v>
      </c>
      <c r="AC1094" s="16"/>
      <c r="AD1094" s="32"/>
    </row>
    <row r="1095" spans="1:30" x14ac:dyDescent="0.2">
      <c r="A1095" s="17" t="s">
        <v>3921</v>
      </c>
      <c r="B1095" s="17" t="s">
        <v>45</v>
      </c>
      <c r="C1095" s="17">
        <v>2025</v>
      </c>
      <c r="D1095" s="17" t="str">
        <f t="array" ref="D1095">_xlfn.SWITCH(E1095,"Bagor","35.18.14","Sukomoro",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5" s="16" t="str">
        <f t="shared" si="23"/>
        <v>Baron</v>
      </c>
      <c r="F1095" s="33" t="s">
        <v>2526</v>
      </c>
      <c r="G1095" s="33" t="s">
        <v>1120</v>
      </c>
      <c r="H1095" s="16" t="s">
        <v>31</v>
      </c>
      <c r="I1095" s="16">
        <v>1</v>
      </c>
      <c r="J1095" s="16">
        <v>1</v>
      </c>
      <c r="K1095" s="16">
        <f t="shared" si="21"/>
        <v>2</v>
      </c>
      <c r="L1095" s="18">
        <v>17500000</v>
      </c>
      <c r="M1095" s="17" t="s">
        <v>1120</v>
      </c>
      <c r="N1095" s="18">
        <f>18*25*12</f>
        <v>5400</v>
      </c>
      <c r="O1095" s="16" t="s">
        <v>422</v>
      </c>
      <c r="P1095" s="30">
        <v>43200000</v>
      </c>
      <c r="Q1095" s="17" t="s">
        <v>1642</v>
      </c>
      <c r="R1095" s="18">
        <f>20*30*12</f>
        <v>7200</v>
      </c>
      <c r="S1095" s="16" t="s">
        <v>422</v>
      </c>
      <c r="T1095" s="53">
        <f t="shared" si="22"/>
        <v>21600000</v>
      </c>
      <c r="U1095" s="90" t="s">
        <v>22</v>
      </c>
      <c r="V1095" s="81">
        <v>0</v>
      </c>
      <c r="W1095" s="82">
        <v>0</v>
      </c>
      <c r="X1095" s="20">
        <v>0</v>
      </c>
      <c r="Y1095" s="16">
        <v>100</v>
      </c>
      <c r="Z1095" s="16">
        <v>0</v>
      </c>
      <c r="AA1095" s="16">
        <v>0</v>
      </c>
      <c r="AB1095" s="16">
        <v>0</v>
      </c>
      <c r="AC1095" s="16"/>
      <c r="AD1095" s="32"/>
    </row>
    <row r="1096" spans="1:30" x14ac:dyDescent="0.2">
      <c r="A1096" s="17" t="s">
        <v>3921</v>
      </c>
      <c r="B1096" s="17" t="s">
        <v>45</v>
      </c>
      <c r="C1096" s="17">
        <v>2025</v>
      </c>
      <c r="D1096" s="17" t="str">
        <f t="array" ref="D1096">_xlfn.SWITCH(E1096,"Bagor","35.18.14","Sukomoro",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6" s="16" t="str">
        <f t="shared" si="23"/>
        <v>Baron</v>
      </c>
      <c r="F1096" s="33" t="s">
        <v>2526</v>
      </c>
      <c r="G1096" s="33" t="s">
        <v>2527</v>
      </c>
      <c r="H1096" s="16" t="s">
        <v>31</v>
      </c>
      <c r="I1096" s="16">
        <v>1</v>
      </c>
      <c r="J1096" s="16">
        <v>2</v>
      </c>
      <c r="K1096" s="16">
        <f t="shared" si="21"/>
        <v>3</v>
      </c>
      <c r="L1096" s="18">
        <v>10000000</v>
      </c>
      <c r="M1096" s="17" t="s">
        <v>190</v>
      </c>
      <c r="N1096" s="18">
        <f>50*12*25</f>
        <v>15000</v>
      </c>
      <c r="O1096" s="16" t="s">
        <v>422</v>
      </c>
      <c r="P1096" s="30">
        <v>135000000</v>
      </c>
      <c r="Q1096" s="17" t="s">
        <v>2528</v>
      </c>
      <c r="R1096" s="18">
        <f>15*30*12</f>
        <v>5400</v>
      </c>
      <c r="S1096" s="16" t="s">
        <v>422</v>
      </c>
      <c r="T1096" s="53">
        <f t="shared" si="22"/>
        <v>67500000</v>
      </c>
      <c r="U1096" s="90" t="s">
        <v>22</v>
      </c>
      <c r="V1096" s="81">
        <v>0</v>
      </c>
      <c r="W1096" s="82">
        <v>0</v>
      </c>
      <c r="X1096" s="20">
        <v>0</v>
      </c>
      <c r="Y1096" s="16">
        <v>100</v>
      </c>
      <c r="Z1096" s="16">
        <v>0</v>
      </c>
      <c r="AA1096" s="16">
        <v>0</v>
      </c>
      <c r="AB1096" s="16">
        <v>0</v>
      </c>
      <c r="AC1096" s="16"/>
      <c r="AD1096" s="32"/>
    </row>
    <row r="1097" spans="1:30" x14ac:dyDescent="0.2">
      <c r="A1097" s="17" t="s">
        <v>3921</v>
      </c>
      <c r="B1097" s="17" t="s">
        <v>45</v>
      </c>
      <c r="C1097" s="17">
        <v>2025</v>
      </c>
      <c r="D1097" s="17" t="str">
        <f t="array" ref="D1097">_xlfn.SWITCH(E1097,"Bagor","35.18.14","Sukomoro",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7" s="16" t="str">
        <f t="shared" si="23"/>
        <v>Baron</v>
      </c>
      <c r="F1097" s="33" t="s">
        <v>2526</v>
      </c>
      <c r="G1097" s="33" t="s">
        <v>1120</v>
      </c>
      <c r="H1097" s="16" t="s">
        <v>31</v>
      </c>
      <c r="I1097" s="16">
        <v>1</v>
      </c>
      <c r="J1097" s="16">
        <v>2</v>
      </c>
      <c r="K1097" s="16">
        <f t="shared" si="21"/>
        <v>3</v>
      </c>
      <c r="L1097" s="18">
        <v>5000000</v>
      </c>
      <c r="M1097" s="17" t="s">
        <v>1120</v>
      </c>
      <c r="N1097" s="18">
        <f>15*12*25</f>
        <v>4500</v>
      </c>
      <c r="O1097" s="16" t="s">
        <v>422</v>
      </c>
      <c r="P1097" s="30">
        <f>8000*N1097</f>
        <v>36000000</v>
      </c>
      <c r="Q1097" s="17" t="s">
        <v>1642</v>
      </c>
      <c r="R1097" s="18">
        <f>10*12*30</f>
        <v>3600</v>
      </c>
      <c r="S1097" s="16" t="s">
        <v>422</v>
      </c>
      <c r="T1097" s="53">
        <f t="shared" si="22"/>
        <v>18000000</v>
      </c>
      <c r="U1097" s="90" t="s">
        <v>22</v>
      </c>
      <c r="V1097" s="81">
        <v>0</v>
      </c>
      <c r="W1097" s="82">
        <v>0</v>
      </c>
      <c r="X1097" s="20">
        <v>0</v>
      </c>
      <c r="Y1097" s="16">
        <v>100</v>
      </c>
      <c r="Z1097" s="16">
        <v>0</v>
      </c>
      <c r="AA1097" s="16">
        <v>0</v>
      </c>
      <c r="AB1097" s="16">
        <v>0</v>
      </c>
      <c r="AC1097" s="16"/>
      <c r="AD1097" s="32"/>
    </row>
    <row r="1098" spans="1:30" x14ac:dyDescent="0.2">
      <c r="A1098" s="17" t="s">
        <v>3921</v>
      </c>
      <c r="B1098" s="17" t="s">
        <v>45</v>
      </c>
      <c r="C1098" s="17">
        <v>2025</v>
      </c>
      <c r="D1098" s="17" t="str">
        <f t="array" ref="D1098">_xlfn.SWITCH(E1098,"Bagor","35.18.14","Sukomoro",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8" s="16" t="str">
        <f t="shared" si="23"/>
        <v>Baron</v>
      </c>
      <c r="F1098" s="33" t="s">
        <v>2526</v>
      </c>
      <c r="G1098" s="33" t="s">
        <v>1120</v>
      </c>
      <c r="H1098" s="16" t="s">
        <v>31</v>
      </c>
      <c r="I1098" s="16">
        <v>1</v>
      </c>
      <c r="J1098" s="16">
        <v>2</v>
      </c>
      <c r="K1098" s="16">
        <f t="shared" si="21"/>
        <v>3</v>
      </c>
      <c r="L1098" s="18">
        <v>4000000</v>
      </c>
      <c r="M1098" s="17" t="s">
        <v>1120</v>
      </c>
      <c r="N1098" s="18">
        <f>15*12*25</f>
        <v>4500</v>
      </c>
      <c r="O1098" s="16" t="s">
        <v>422</v>
      </c>
      <c r="P1098" s="30">
        <v>38250000</v>
      </c>
      <c r="Q1098" s="17" t="s">
        <v>1642</v>
      </c>
      <c r="R1098" s="18">
        <f>12*30*12</f>
        <v>4320</v>
      </c>
      <c r="S1098" s="16" t="s">
        <v>422</v>
      </c>
      <c r="T1098" s="53">
        <f t="shared" si="22"/>
        <v>19125000</v>
      </c>
      <c r="U1098" s="90" t="s">
        <v>22</v>
      </c>
      <c r="V1098" s="81">
        <v>0</v>
      </c>
      <c r="W1098" s="82">
        <v>0</v>
      </c>
      <c r="X1098" s="20">
        <v>0</v>
      </c>
      <c r="Y1098" s="16">
        <v>100</v>
      </c>
      <c r="Z1098" s="16">
        <v>0</v>
      </c>
      <c r="AA1098" s="16">
        <v>0</v>
      </c>
      <c r="AB1098" s="16">
        <v>0</v>
      </c>
      <c r="AC1098" s="16"/>
      <c r="AD1098" s="32"/>
    </row>
    <row r="1099" spans="1:30" x14ac:dyDescent="0.2">
      <c r="A1099" s="17" t="s">
        <v>3921</v>
      </c>
      <c r="B1099" s="17" t="s">
        <v>45</v>
      </c>
      <c r="C1099" s="17">
        <v>2025</v>
      </c>
      <c r="D1099" s="17" t="str">
        <f t="array" ref="D1099">_xlfn.SWITCH(E1099,"Bagor","35.18.14","Sukomoro",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9" s="16" t="str">
        <f t="shared" si="23"/>
        <v>Baron</v>
      </c>
      <c r="F1099" s="33" t="s">
        <v>2526</v>
      </c>
      <c r="G1099" s="33" t="s">
        <v>1951</v>
      </c>
      <c r="H1099" s="16" t="s">
        <v>31</v>
      </c>
      <c r="I1099" s="16">
        <v>3</v>
      </c>
      <c r="J1099" s="16">
        <v>0</v>
      </c>
      <c r="K1099" s="16">
        <f t="shared" si="21"/>
        <v>3</v>
      </c>
      <c r="L1099" s="18">
        <v>7500000</v>
      </c>
      <c r="M1099" s="17" t="s">
        <v>2205</v>
      </c>
      <c r="N1099" s="18">
        <f>250*12*25</f>
        <v>75000</v>
      </c>
      <c r="O1099" s="16" t="s">
        <v>1398</v>
      </c>
      <c r="P1099" s="30">
        <v>112500000</v>
      </c>
      <c r="Q1099" s="17" t="s">
        <v>2182</v>
      </c>
      <c r="R1099" s="18">
        <v>281</v>
      </c>
      <c r="S1099" s="16" t="s">
        <v>2107</v>
      </c>
      <c r="T1099" s="53">
        <f t="shared" si="22"/>
        <v>56250000</v>
      </c>
      <c r="U1099" s="90" t="s">
        <v>22</v>
      </c>
      <c r="V1099" s="81">
        <v>0</v>
      </c>
      <c r="W1099" s="82">
        <v>0</v>
      </c>
      <c r="X1099" s="20">
        <v>0</v>
      </c>
      <c r="Y1099" s="16">
        <v>100</v>
      </c>
      <c r="Z1099" s="16">
        <v>0</v>
      </c>
      <c r="AA1099" s="16">
        <v>0</v>
      </c>
      <c r="AB1099" s="16">
        <v>0</v>
      </c>
      <c r="AC1099" s="16"/>
      <c r="AD1099" s="32"/>
    </row>
    <row r="1100" spans="1:30" x14ac:dyDescent="0.2">
      <c r="A1100" s="17" t="s">
        <v>3921</v>
      </c>
      <c r="B1100" s="17" t="s">
        <v>45</v>
      </c>
      <c r="C1100" s="17">
        <v>2025</v>
      </c>
      <c r="D1100" s="17" t="str">
        <f t="array" ref="D1100">_xlfn.SWITCH(E1100,"Bagor","35.18.14","Sukomoro",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00" s="16" t="str">
        <f t="shared" si="23"/>
        <v>Baron</v>
      </c>
      <c r="F1100" s="33" t="s">
        <v>2526</v>
      </c>
      <c r="G1100" s="33" t="s">
        <v>2520</v>
      </c>
      <c r="H1100" s="16" t="s">
        <v>31</v>
      </c>
      <c r="I1100" s="16">
        <v>1</v>
      </c>
      <c r="J1100" s="16">
        <v>1</v>
      </c>
      <c r="K1100" s="16">
        <f t="shared" si="21"/>
        <v>2</v>
      </c>
      <c r="L1100" s="18">
        <v>18750000</v>
      </c>
      <c r="M1100" s="17" t="s">
        <v>2520</v>
      </c>
      <c r="N1100" s="18">
        <f>200*12*25</f>
        <v>60000</v>
      </c>
      <c r="O1100" s="16" t="s">
        <v>1398</v>
      </c>
      <c r="P1100" s="30">
        <v>90000000</v>
      </c>
      <c r="Q1100" s="17" t="s">
        <v>2434</v>
      </c>
      <c r="R1100" s="18">
        <f>20*30*12</f>
        <v>7200</v>
      </c>
      <c r="S1100" s="16" t="s">
        <v>422</v>
      </c>
      <c r="T1100" s="53">
        <f t="shared" si="22"/>
        <v>45000000</v>
      </c>
      <c r="U1100" s="90" t="s">
        <v>22</v>
      </c>
      <c r="V1100" s="81">
        <v>0</v>
      </c>
      <c r="W1100" s="82">
        <v>0</v>
      </c>
      <c r="X1100" s="20">
        <v>0</v>
      </c>
      <c r="Y1100" s="16">
        <v>100</v>
      </c>
      <c r="Z1100" s="16">
        <v>0</v>
      </c>
      <c r="AA1100" s="16">
        <v>0</v>
      </c>
      <c r="AB1100" s="16">
        <v>0</v>
      </c>
      <c r="AC1100" s="16"/>
      <c r="AD1100" s="32"/>
    </row>
    <row r="1101" spans="1:30" x14ac:dyDescent="0.2">
      <c r="A1101" s="17" t="s">
        <v>3921</v>
      </c>
      <c r="B1101" s="17" t="s">
        <v>45</v>
      </c>
      <c r="C1101" s="17">
        <v>2025</v>
      </c>
      <c r="D1101" s="17" t="str">
        <f t="array" ref="D1101">_xlfn.SWITCH(E1101,"Bagor","35.18.14","Sukomoro",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01" s="16" t="str">
        <f t="shared" si="23"/>
        <v>Baron</v>
      </c>
      <c r="F1101" s="33" t="s">
        <v>2526</v>
      </c>
      <c r="G1101" s="33" t="s">
        <v>1120</v>
      </c>
      <c r="H1101" s="16" t="s">
        <v>31</v>
      </c>
      <c r="I1101" s="16">
        <v>1</v>
      </c>
      <c r="J1101" s="16">
        <v>1</v>
      </c>
      <c r="K1101" s="16">
        <f t="shared" si="21"/>
        <v>2</v>
      </c>
      <c r="L1101" s="18">
        <v>16500000</v>
      </c>
      <c r="M1101" s="17" t="s">
        <v>1120</v>
      </c>
      <c r="N1101" s="18">
        <f>20*12*25</f>
        <v>6000</v>
      </c>
      <c r="O1101" s="16" t="s">
        <v>422</v>
      </c>
      <c r="P1101" s="30">
        <v>48000000</v>
      </c>
      <c r="Q1101" s="17" t="s">
        <v>1642</v>
      </c>
      <c r="R1101" s="18">
        <f>20*12*30</f>
        <v>7200</v>
      </c>
      <c r="S1101" s="16" t="s">
        <v>422</v>
      </c>
      <c r="T1101" s="53">
        <f t="shared" si="22"/>
        <v>24000000</v>
      </c>
      <c r="U1101" s="90" t="s">
        <v>22</v>
      </c>
      <c r="V1101" s="81">
        <v>0</v>
      </c>
      <c r="W1101" s="82">
        <v>0</v>
      </c>
      <c r="X1101" s="20">
        <v>0</v>
      </c>
      <c r="Y1101" s="16">
        <v>100</v>
      </c>
      <c r="Z1101" s="16">
        <v>0</v>
      </c>
      <c r="AA1101" s="16">
        <v>0</v>
      </c>
      <c r="AB1101" s="16">
        <v>0</v>
      </c>
      <c r="AC1101" s="16"/>
      <c r="AD1101" s="32"/>
    </row>
    <row r="1102" spans="1:30" x14ac:dyDescent="0.2">
      <c r="A1102" s="17" t="s">
        <v>3921</v>
      </c>
      <c r="B1102" s="17" t="s">
        <v>45</v>
      </c>
      <c r="C1102" s="17">
        <v>2025</v>
      </c>
      <c r="D1102" s="17" t="str">
        <f t="array" ref="D1102">_xlfn.SWITCH(E1102,"Bagor","35.18.14","Sukomoro",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02" s="16" t="str">
        <f t="shared" si="23"/>
        <v>Baron</v>
      </c>
      <c r="F1102" s="33" t="s">
        <v>2526</v>
      </c>
      <c r="G1102" s="33" t="s">
        <v>2464</v>
      </c>
      <c r="H1102" s="16" t="s">
        <v>31</v>
      </c>
      <c r="I1102" s="16">
        <v>1</v>
      </c>
      <c r="J1102" s="16">
        <v>1</v>
      </c>
      <c r="K1102" s="16">
        <f t="shared" si="21"/>
        <v>2</v>
      </c>
      <c r="L1102" s="18">
        <v>3000000</v>
      </c>
      <c r="M1102" s="17" t="s">
        <v>2464</v>
      </c>
      <c r="N1102" s="18">
        <f>20*12*25</f>
        <v>6000</v>
      </c>
      <c r="O1102" s="16" t="s">
        <v>1420</v>
      </c>
      <c r="P1102" s="30">
        <v>90000000</v>
      </c>
      <c r="Q1102" s="17" t="s">
        <v>2512</v>
      </c>
      <c r="R1102" s="18">
        <f>8*30*12</f>
        <v>2880</v>
      </c>
      <c r="S1102" s="16" t="s">
        <v>422</v>
      </c>
      <c r="T1102" s="53">
        <f t="shared" si="22"/>
        <v>45000000</v>
      </c>
      <c r="U1102" s="90" t="s">
        <v>22</v>
      </c>
      <c r="V1102" s="81">
        <v>0</v>
      </c>
      <c r="W1102" s="82">
        <v>0</v>
      </c>
      <c r="X1102" s="20">
        <v>0</v>
      </c>
      <c r="Y1102" s="16">
        <v>100</v>
      </c>
      <c r="Z1102" s="16">
        <v>0</v>
      </c>
      <c r="AA1102" s="16">
        <v>0</v>
      </c>
      <c r="AB1102" s="16">
        <v>0</v>
      </c>
      <c r="AC1102" s="16"/>
      <c r="AD1102" s="32"/>
    </row>
    <row r="1103" spans="1:30" x14ac:dyDescent="0.2">
      <c r="A1103" s="17" t="s">
        <v>3921</v>
      </c>
      <c r="B1103" s="17" t="s">
        <v>45</v>
      </c>
      <c r="C1103" s="17">
        <v>2025</v>
      </c>
      <c r="D1103" s="17" t="str">
        <f t="array" ref="D1103">_xlfn.SWITCH(E1103,"Bagor","35.18.14","Sukomoro",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03" s="16" t="str">
        <f t="shared" si="23"/>
        <v>Baron</v>
      </c>
      <c r="F1103" s="33" t="s">
        <v>2526</v>
      </c>
      <c r="G1103" s="33" t="s">
        <v>2529</v>
      </c>
      <c r="H1103" s="16" t="s">
        <v>31</v>
      </c>
      <c r="I1103" s="16">
        <v>1</v>
      </c>
      <c r="J1103" s="16">
        <v>3</v>
      </c>
      <c r="K1103" s="16">
        <f t="shared" si="21"/>
        <v>4</v>
      </c>
      <c r="L1103" s="18">
        <v>7000000</v>
      </c>
      <c r="M1103" s="17" t="s">
        <v>190</v>
      </c>
      <c r="N1103" s="18">
        <f>50*12*25</f>
        <v>15000</v>
      </c>
      <c r="O1103" s="16" t="s">
        <v>1398</v>
      </c>
      <c r="P1103" s="30">
        <v>30000000</v>
      </c>
      <c r="Q1103" s="17" t="s">
        <v>2086</v>
      </c>
      <c r="R1103" s="18">
        <f>10*12*30</f>
        <v>3600</v>
      </c>
      <c r="S1103" s="16" t="s">
        <v>422</v>
      </c>
      <c r="T1103" s="53">
        <f t="shared" si="22"/>
        <v>15000000</v>
      </c>
      <c r="U1103" s="90" t="s">
        <v>22</v>
      </c>
      <c r="V1103" s="81">
        <v>0</v>
      </c>
      <c r="W1103" s="82">
        <v>0</v>
      </c>
      <c r="X1103" s="20">
        <v>0</v>
      </c>
      <c r="Y1103" s="16">
        <v>100</v>
      </c>
      <c r="Z1103" s="16">
        <v>0</v>
      </c>
      <c r="AA1103" s="16">
        <v>0</v>
      </c>
      <c r="AB1103" s="16">
        <v>0</v>
      </c>
      <c r="AC1103" s="16"/>
      <c r="AD1103" s="32"/>
    </row>
    <row r="1104" spans="1:30" x14ac:dyDescent="0.2">
      <c r="A1104" s="17" t="s">
        <v>3921</v>
      </c>
      <c r="B1104" s="17" t="s">
        <v>45</v>
      </c>
      <c r="C1104" s="17">
        <v>2025</v>
      </c>
      <c r="D1104" s="17" t="str">
        <f t="array" ref="D1104">_xlfn.SWITCH(E1104,"Bagor","35.18.14","Sukomoro",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104" s="16" t="s">
        <v>2530</v>
      </c>
      <c r="F1104" s="33" t="s">
        <v>2530</v>
      </c>
      <c r="G1104" s="33" t="s">
        <v>766</v>
      </c>
      <c r="H1104" s="16" t="s">
        <v>31</v>
      </c>
      <c r="I1104" s="16">
        <v>1</v>
      </c>
      <c r="J1104" s="16">
        <v>1</v>
      </c>
      <c r="K1104" s="16">
        <f t="shared" si="21"/>
        <v>2</v>
      </c>
      <c r="L1104" s="18">
        <v>4500000</v>
      </c>
      <c r="M1104" s="17" t="s">
        <v>2531</v>
      </c>
      <c r="N1104" s="18">
        <f>15*12*25</f>
        <v>4500</v>
      </c>
      <c r="O1104" s="16" t="s">
        <v>1398</v>
      </c>
      <c r="P1104" s="30">
        <v>112500000</v>
      </c>
      <c r="Q1104" s="17" t="s">
        <v>2086</v>
      </c>
      <c r="R1104" s="18">
        <f>25*12*30</f>
        <v>9000</v>
      </c>
      <c r="S1104" s="16" t="s">
        <v>1398</v>
      </c>
      <c r="T1104" s="53">
        <f t="shared" si="22"/>
        <v>56250000</v>
      </c>
      <c r="U1104" s="90" t="s">
        <v>22</v>
      </c>
      <c r="V1104" s="81">
        <v>0</v>
      </c>
      <c r="W1104" s="82">
        <v>0</v>
      </c>
      <c r="X1104" s="20">
        <v>0</v>
      </c>
      <c r="Y1104" s="16">
        <v>100</v>
      </c>
      <c r="Z1104" s="16">
        <v>0</v>
      </c>
      <c r="AA1104" s="16">
        <v>0</v>
      </c>
      <c r="AB1104" s="16">
        <v>0</v>
      </c>
      <c r="AC1104" s="16"/>
      <c r="AD1104" s="32"/>
    </row>
    <row r="1105" spans="1:84" x14ac:dyDescent="0.2">
      <c r="A1105" s="17" t="s">
        <v>3921</v>
      </c>
      <c r="B1105" s="17" t="s">
        <v>45</v>
      </c>
      <c r="C1105" s="17">
        <v>2025</v>
      </c>
      <c r="D1105" s="17" t="str">
        <f t="array" ref="D1105">_xlfn.SWITCH(E1105,"Bagor","35.18.14","Sukomoro",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105" s="16" t="s">
        <v>2530</v>
      </c>
      <c r="F1105" s="33" t="s">
        <v>2530</v>
      </c>
      <c r="G1105" s="33" t="s">
        <v>766</v>
      </c>
      <c r="H1105" s="16" t="s">
        <v>31</v>
      </c>
      <c r="I1105" s="16">
        <v>3</v>
      </c>
      <c r="J1105" s="16">
        <v>1</v>
      </c>
      <c r="K1105" s="16">
        <f t="shared" si="21"/>
        <v>4</v>
      </c>
      <c r="L1105" s="18">
        <v>4375000</v>
      </c>
      <c r="M1105" s="17" t="s">
        <v>2531</v>
      </c>
      <c r="N1105" s="18">
        <f>30*12*25</f>
        <v>9000</v>
      </c>
      <c r="O1105" s="16" t="s">
        <v>1398</v>
      </c>
      <c r="P1105" s="30">
        <v>225000000</v>
      </c>
      <c r="Q1105" s="17" t="s">
        <v>2086</v>
      </c>
      <c r="R1105" s="18">
        <f>50*12*30</f>
        <v>18000</v>
      </c>
      <c r="S1105" s="16" t="s">
        <v>1398</v>
      </c>
      <c r="T1105" s="53">
        <f t="shared" si="22"/>
        <v>112500000</v>
      </c>
      <c r="U1105" s="90" t="s">
        <v>22</v>
      </c>
      <c r="V1105" s="81">
        <v>0</v>
      </c>
      <c r="W1105" s="82">
        <v>0</v>
      </c>
      <c r="X1105" s="20">
        <v>0</v>
      </c>
      <c r="Y1105" s="16">
        <v>100</v>
      </c>
      <c r="Z1105" s="16">
        <v>0</v>
      </c>
      <c r="AA1105" s="16">
        <v>0</v>
      </c>
      <c r="AB1105" s="16">
        <v>0</v>
      </c>
      <c r="AC1105" s="16"/>
      <c r="AD1105" s="32"/>
    </row>
    <row r="1106" spans="1:84" x14ac:dyDescent="0.2">
      <c r="A1106" s="17" t="s">
        <v>3921</v>
      </c>
      <c r="B1106" s="17" t="s">
        <v>45</v>
      </c>
      <c r="C1106" s="17">
        <v>2025</v>
      </c>
      <c r="D1106" s="17" t="str">
        <f t="array" ref="D1106">_xlfn.SWITCH(E1106,"Bagor","35.18.14","Sukomoro",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106" s="16" t="s">
        <v>2530</v>
      </c>
      <c r="F1106" s="33" t="s">
        <v>2530</v>
      </c>
      <c r="G1106" s="33" t="s">
        <v>766</v>
      </c>
      <c r="H1106" s="16" t="s">
        <v>31</v>
      </c>
      <c r="I1106" s="16">
        <v>2</v>
      </c>
      <c r="J1106" s="16">
        <v>0</v>
      </c>
      <c r="K1106" s="16">
        <f t="shared" si="21"/>
        <v>2</v>
      </c>
      <c r="L1106" s="18">
        <v>4000000</v>
      </c>
      <c r="M1106" s="17" t="s">
        <v>2531</v>
      </c>
      <c r="N1106" s="18">
        <f>12*12*25</f>
        <v>3600</v>
      </c>
      <c r="O1106" s="16" t="s">
        <v>1398</v>
      </c>
      <c r="P1106" s="30">
        <v>72000000</v>
      </c>
      <c r="Q1106" s="17" t="s">
        <v>2086</v>
      </c>
      <c r="R1106" s="18">
        <f>15*12*30</f>
        <v>5400</v>
      </c>
      <c r="S1106" s="16" t="s">
        <v>1398</v>
      </c>
      <c r="T1106" s="53">
        <f t="shared" si="22"/>
        <v>36000000</v>
      </c>
      <c r="U1106" s="90" t="s">
        <v>22</v>
      </c>
      <c r="V1106" s="81">
        <v>0</v>
      </c>
      <c r="W1106" s="82">
        <v>0</v>
      </c>
      <c r="X1106" s="20">
        <v>0</v>
      </c>
      <c r="Y1106" s="16">
        <v>100</v>
      </c>
      <c r="Z1106" s="16">
        <v>0</v>
      </c>
      <c r="AA1106" s="16">
        <v>0</v>
      </c>
      <c r="AB1106" s="16">
        <v>0</v>
      </c>
      <c r="AC1106" s="16"/>
      <c r="AD1106" s="32"/>
    </row>
    <row r="1107" spans="1:84" x14ac:dyDescent="0.2">
      <c r="A1107" s="17" t="s">
        <v>3921</v>
      </c>
      <c r="B1107" s="17" t="s">
        <v>45</v>
      </c>
      <c r="C1107" s="17">
        <v>2025</v>
      </c>
      <c r="D1107" s="17" t="str">
        <f t="array" ref="D1107">_xlfn.SWITCH(E1107,"Bagor","35.18.14","Sukomoro",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07" s="94" t="s">
        <v>92</v>
      </c>
      <c r="F1107" s="93" t="s">
        <v>2532</v>
      </c>
      <c r="G1107" s="93" t="s">
        <v>172</v>
      </c>
      <c r="H1107" s="16" t="s">
        <v>31</v>
      </c>
      <c r="I1107" s="94">
        <v>8</v>
      </c>
      <c r="J1107" s="94">
        <v>0</v>
      </c>
      <c r="K1107" s="94">
        <f t="shared" si="21"/>
        <v>8</v>
      </c>
      <c r="L1107" s="95">
        <v>15000000</v>
      </c>
      <c r="M1107" s="96" t="s">
        <v>172</v>
      </c>
      <c r="N1107" s="95">
        <v>90000</v>
      </c>
      <c r="O1107" s="94" t="s">
        <v>1130</v>
      </c>
      <c r="P1107" s="97">
        <v>70000000</v>
      </c>
      <c r="Q1107" s="96" t="s">
        <v>1642</v>
      </c>
      <c r="R1107" s="98">
        <f>16*30*12</f>
        <v>5760</v>
      </c>
      <c r="S1107" s="94" t="s">
        <v>422</v>
      </c>
      <c r="T1107" s="97">
        <f t="shared" si="22"/>
        <v>35000000</v>
      </c>
      <c r="U1107" s="16" t="s">
        <v>22</v>
      </c>
      <c r="V1107" s="16">
        <v>0</v>
      </c>
      <c r="W1107" s="16">
        <v>0</v>
      </c>
      <c r="X1107" s="16">
        <v>0</v>
      </c>
      <c r="Y1107" s="16">
        <v>100</v>
      </c>
      <c r="Z1107" s="16">
        <v>0</v>
      </c>
      <c r="AA1107" s="16">
        <v>0</v>
      </c>
      <c r="AB1107" s="16">
        <v>0</v>
      </c>
      <c r="AC1107" s="94"/>
    </row>
    <row r="1108" spans="1:84" x14ac:dyDescent="0.2">
      <c r="A1108" s="17" t="s">
        <v>3921</v>
      </c>
      <c r="B1108" s="17" t="s">
        <v>45</v>
      </c>
      <c r="C1108" s="17">
        <v>2025</v>
      </c>
      <c r="D1108" s="17" t="str">
        <f t="array" ref="D1108">_xlfn.SWITCH(E1108,"Bagor","35.18.14","Sukomoro",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08" s="94" t="s">
        <v>92</v>
      </c>
      <c r="F1108" s="93" t="s">
        <v>2533</v>
      </c>
      <c r="G1108" s="93" t="s">
        <v>172</v>
      </c>
      <c r="H1108" s="16" t="s">
        <v>31</v>
      </c>
      <c r="I1108" s="94">
        <v>5</v>
      </c>
      <c r="J1108" s="94">
        <v>0</v>
      </c>
      <c r="K1108" s="94">
        <f t="shared" si="21"/>
        <v>5</v>
      </c>
      <c r="L1108" s="95">
        <v>17500000</v>
      </c>
      <c r="M1108" s="96" t="s">
        <v>172</v>
      </c>
      <c r="N1108" s="95">
        <v>75000</v>
      </c>
      <c r="O1108" s="94" t="s">
        <v>1130</v>
      </c>
      <c r="P1108" s="97">
        <v>45000000</v>
      </c>
      <c r="Q1108" s="96" t="s">
        <v>1642</v>
      </c>
      <c r="R1108" s="98">
        <f>8*30*12</f>
        <v>2880</v>
      </c>
      <c r="S1108" s="94" t="s">
        <v>422</v>
      </c>
      <c r="T1108" s="97">
        <f t="shared" si="22"/>
        <v>22500000</v>
      </c>
      <c r="U1108" s="94" t="s">
        <v>22</v>
      </c>
      <c r="V1108" s="94">
        <v>0</v>
      </c>
      <c r="W1108" s="94">
        <v>0</v>
      </c>
      <c r="X1108" s="94">
        <v>0</v>
      </c>
      <c r="Y1108" s="94">
        <v>100</v>
      </c>
      <c r="Z1108" s="16">
        <v>0</v>
      </c>
      <c r="AA1108" s="16">
        <v>0</v>
      </c>
      <c r="AB1108" s="16">
        <v>0</v>
      </c>
      <c r="AC1108" s="94"/>
    </row>
    <row r="1109" spans="1:84" s="3" customFormat="1" ht="20" x14ac:dyDescent="0.2">
      <c r="A1109" s="17" t="s">
        <v>3921</v>
      </c>
      <c r="B1109" s="17" t="s">
        <v>45</v>
      </c>
      <c r="C1109" s="17">
        <v>2025</v>
      </c>
      <c r="D1109" s="17" t="str">
        <f t="array" ref="D1109">_xlfn.SWITCH(E1109,"Bagor","35.18.14","Sukomoro",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09" s="94" t="s">
        <v>92</v>
      </c>
      <c r="F1109" s="93" t="s">
        <v>2534</v>
      </c>
      <c r="G1109" s="93" t="s">
        <v>1810</v>
      </c>
      <c r="H1109" s="16" t="s">
        <v>31</v>
      </c>
      <c r="I1109" s="94">
        <v>2</v>
      </c>
      <c r="J1109" s="94">
        <v>2</v>
      </c>
      <c r="K1109" s="94">
        <f t="shared" si="21"/>
        <v>4</v>
      </c>
      <c r="L1109" s="95">
        <v>5000000</v>
      </c>
      <c r="M1109" s="96" t="s">
        <v>1810</v>
      </c>
      <c r="N1109" s="95">
        <v>1000</v>
      </c>
      <c r="O1109" s="94" t="s">
        <v>1398</v>
      </c>
      <c r="P1109" s="97">
        <v>50000000</v>
      </c>
      <c r="Q1109" s="96" t="s">
        <v>1956</v>
      </c>
      <c r="R1109" s="95">
        <v>1000</v>
      </c>
      <c r="S1109" s="94" t="s">
        <v>422</v>
      </c>
      <c r="T1109" s="97">
        <f t="shared" si="22"/>
        <v>25000000</v>
      </c>
      <c r="U1109" s="94" t="s">
        <v>22</v>
      </c>
      <c r="V1109" s="94" t="s">
        <v>998</v>
      </c>
      <c r="W1109" s="94">
        <v>2500</v>
      </c>
      <c r="X1109" s="94" t="s">
        <v>1049</v>
      </c>
      <c r="Y1109" s="94">
        <v>100</v>
      </c>
      <c r="Z1109" s="94">
        <v>0</v>
      </c>
      <c r="AA1109" s="94">
        <v>0</v>
      </c>
      <c r="AB1109" s="94">
        <v>0</v>
      </c>
      <c r="AC1109" s="94"/>
      <c r="AE1109" s="1"/>
      <c r="AF1109" s="2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</row>
    <row r="1110" spans="1:84" s="3" customFormat="1" ht="20" x14ac:dyDescent="0.2">
      <c r="A1110" s="17" t="s">
        <v>3921</v>
      </c>
      <c r="B1110" s="17" t="s">
        <v>45</v>
      </c>
      <c r="C1110" s="17">
        <v>2025</v>
      </c>
      <c r="D1110" s="17" t="str">
        <f t="array" ref="D1110">_xlfn.SWITCH(E1110,"Bagor","35.18.14","Sukomoro",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0" s="94" t="s">
        <v>92</v>
      </c>
      <c r="F1110" s="93" t="s">
        <v>2534</v>
      </c>
      <c r="G1110" s="93" t="s">
        <v>2535</v>
      </c>
      <c r="H1110" s="16" t="s">
        <v>31</v>
      </c>
      <c r="I1110" s="94">
        <v>2</v>
      </c>
      <c r="J1110" s="94">
        <v>3</v>
      </c>
      <c r="K1110" s="94">
        <f t="shared" si="21"/>
        <v>5</v>
      </c>
      <c r="L1110" s="95">
        <v>5000000</v>
      </c>
      <c r="M1110" s="96" t="s">
        <v>1810</v>
      </c>
      <c r="N1110" s="95">
        <v>500</v>
      </c>
      <c r="O1110" s="94" t="s">
        <v>1398</v>
      </c>
      <c r="P1110" s="97">
        <v>25000000</v>
      </c>
      <c r="Q1110" s="96" t="s">
        <v>1956</v>
      </c>
      <c r="R1110" s="95">
        <v>450</v>
      </c>
      <c r="S1110" s="94" t="s">
        <v>422</v>
      </c>
      <c r="T1110" s="97">
        <f t="shared" si="22"/>
        <v>12500000</v>
      </c>
      <c r="U1110" s="94" t="s">
        <v>22</v>
      </c>
      <c r="V1110" s="94" t="s">
        <v>998</v>
      </c>
      <c r="W1110" s="94">
        <v>1000</v>
      </c>
      <c r="X1110" s="94" t="s">
        <v>1049</v>
      </c>
      <c r="Y1110" s="94">
        <v>100</v>
      </c>
      <c r="Z1110" s="94">
        <v>0</v>
      </c>
      <c r="AA1110" s="94">
        <v>0</v>
      </c>
      <c r="AB1110" s="94">
        <v>0</v>
      </c>
      <c r="AC1110" s="94"/>
      <c r="AE1110" s="1"/>
      <c r="AF1110" s="2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</row>
    <row r="1111" spans="1:84" s="3" customFormat="1" ht="20" x14ac:dyDescent="0.2">
      <c r="A1111" s="17" t="s">
        <v>3921</v>
      </c>
      <c r="B1111" s="17" t="s">
        <v>45</v>
      </c>
      <c r="C1111" s="17">
        <v>2025</v>
      </c>
      <c r="D1111" s="17" t="str">
        <f t="array" ref="D1111">_xlfn.SWITCH(E1111,"Bagor","35.18.14","Sukomoro",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1" s="94" t="s">
        <v>92</v>
      </c>
      <c r="F1111" s="93" t="s">
        <v>2536</v>
      </c>
      <c r="G1111" s="93" t="s">
        <v>1120</v>
      </c>
      <c r="H1111" s="16" t="s">
        <v>31</v>
      </c>
      <c r="I1111" s="94">
        <v>1</v>
      </c>
      <c r="J1111" s="94">
        <v>2</v>
      </c>
      <c r="K1111" s="94">
        <f t="shared" si="21"/>
        <v>3</v>
      </c>
      <c r="L1111" s="95">
        <v>3000000</v>
      </c>
      <c r="M1111" s="96" t="s">
        <v>1120</v>
      </c>
      <c r="N1111" s="95">
        <v>6500</v>
      </c>
      <c r="O1111" s="94" t="s">
        <v>422</v>
      </c>
      <c r="P1111" s="97">
        <v>45000000</v>
      </c>
      <c r="Q1111" s="96" t="s">
        <v>1642</v>
      </c>
      <c r="R1111" s="95">
        <v>7000</v>
      </c>
      <c r="S1111" s="94" t="s">
        <v>422</v>
      </c>
      <c r="T1111" s="97">
        <f t="shared" si="22"/>
        <v>22500000</v>
      </c>
      <c r="U1111" s="94" t="s">
        <v>22</v>
      </c>
      <c r="V1111" s="94"/>
      <c r="W1111" s="94"/>
      <c r="X1111" s="94"/>
      <c r="Y1111" s="94">
        <v>100</v>
      </c>
      <c r="Z1111" s="94">
        <v>0</v>
      </c>
      <c r="AA1111" s="94">
        <v>0</v>
      </c>
      <c r="AB1111" s="94">
        <v>0</v>
      </c>
      <c r="AC1111" s="94"/>
      <c r="AE1111" s="1"/>
      <c r="AF1111" s="2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</row>
    <row r="1112" spans="1:84" s="3" customFormat="1" ht="20" x14ac:dyDescent="0.2">
      <c r="A1112" s="17" t="s">
        <v>3921</v>
      </c>
      <c r="B1112" s="17" t="s">
        <v>45</v>
      </c>
      <c r="C1112" s="17">
        <v>2025</v>
      </c>
      <c r="D1112" s="17" t="str">
        <f t="array" ref="D1112">_xlfn.SWITCH(E1112,"Bagor","35.18.14","Sukomoro",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2" s="94" t="s">
        <v>92</v>
      </c>
      <c r="F1112" s="93" t="s">
        <v>2536</v>
      </c>
      <c r="G1112" s="93" t="s">
        <v>1120</v>
      </c>
      <c r="H1112" s="16" t="s">
        <v>31</v>
      </c>
      <c r="I1112" s="94">
        <v>2</v>
      </c>
      <c r="J1112" s="94">
        <v>2</v>
      </c>
      <c r="K1112" s="94">
        <f t="shared" si="21"/>
        <v>4</v>
      </c>
      <c r="L1112" s="95">
        <v>5000000</v>
      </c>
      <c r="M1112" s="96" t="s">
        <v>1120</v>
      </c>
      <c r="N1112" s="95">
        <v>15000</v>
      </c>
      <c r="O1112" s="94" t="s">
        <v>422</v>
      </c>
      <c r="P1112" s="97">
        <v>120000000</v>
      </c>
      <c r="Q1112" s="96" t="s">
        <v>1642</v>
      </c>
      <c r="R1112" s="95">
        <v>13000</v>
      </c>
      <c r="S1112" s="94" t="s">
        <v>422</v>
      </c>
      <c r="T1112" s="97">
        <f t="shared" si="22"/>
        <v>60000000</v>
      </c>
      <c r="U1112" s="94" t="s">
        <v>22</v>
      </c>
      <c r="V1112" s="94"/>
      <c r="W1112" s="94"/>
      <c r="X1112" s="94"/>
      <c r="Y1112" s="94">
        <v>100</v>
      </c>
      <c r="Z1112" s="94">
        <v>0</v>
      </c>
      <c r="AA1112" s="94">
        <v>0</v>
      </c>
      <c r="AB1112" s="94">
        <v>0</v>
      </c>
      <c r="AC1112" s="94"/>
      <c r="AE1112" s="1"/>
      <c r="AF1112" s="2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</row>
    <row r="1113" spans="1:84" s="3" customFormat="1" ht="20" x14ac:dyDescent="0.2">
      <c r="A1113" s="17" t="s">
        <v>3921</v>
      </c>
      <c r="B1113" s="17" t="s">
        <v>45</v>
      </c>
      <c r="C1113" s="17">
        <v>2025</v>
      </c>
      <c r="D1113" s="17" t="str">
        <f t="array" ref="D1113">_xlfn.SWITCH(E1113,"Bagor","35.18.14","Sukomoro",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3" s="94" t="s">
        <v>92</v>
      </c>
      <c r="F1113" s="93" t="s">
        <v>2537</v>
      </c>
      <c r="G1113" s="93" t="s">
        <v>1120</v>
      </c>
      <c r="H1113" s="16" t="s">
        <v>31</v>
      </c>
      <c r="I1113" s="94">
        <v>2</v>
      </c>
      <c r="J1113" s="94">
        <v>0</v>
      </c>
      <c r="K1113" s="94">
        <f t="shared" si="21"/>
        <v>2</v>
      </c>
      <c r="L1113" s="95">
        <v>2500000</v>
      </c>
      <c r="M1113" s="96" t="s">
        <v>1120</v>
      </c>
      <c r="N1113" s="95">
        <v>3500</v>
      </c>
      <c r="O1113" s="94" t="s">
        <v>422</v>
      </c>
      <c r="P1113" s="97">
        <v>34000000</v>
      </c>
      <c r="Q1113" s="96" t="s">
        <v>1642</v>
      </c>
      <c r="R1113" s="95">
        <v>6500</v>
      </c>
      <c r="S1113" s="94" t="s">
        <v>422</v>
      </c>
      <c r="T1113" s="97">
        <f t="shared" si="22"/>
        <v>17000000</v>
      </c>
      <c r="U1113" s="94" t="s">
        <v>22</v>
      </c>
      <c r="V1113" s="94"/>
      <c r="W1113" s="94"/>
      <c r="X1113" s="94"/>
      <c r="Y1113" s="94">
        <v>100</v>
      </c>
      <c r="Z1113" s="94">
        <v>0</v>
      </c>
      <c r="AA1113" s="94">
        <v>0</v>
      </c>
      <c r="AB1113" s="94">
        <v>0</v>
      </c>
      <c r="AC1113" s="94"/>
      <c r="AE1113" s="1"/>
      <c r="AF1113" s="2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</row>
    <row r="1114" spans="1:84" s="3" customFormat="1" ht="20" x14ac:dyDescent="0.2">
      <c r="A1114" s="17" t="s">
        <v>3921</v>
      </c>
      <c r="B1114" s="17" t="s">
        <v>45</v>
      </c>
      <c r="C1114" s="17">
        <v>2025</v>
      </c>
      <c r="D1114" s="17" t="str">
        <f t="array" ref="D1114">_xlfn.SWITCH(E1114,"Bagor","35.18.14","Sukomoro",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4" s="94" t="s">
        <v>92</v>
      </c>
      <c r="F1114" s="93" t="s">
        <v>2537</v>
      </c>
      <c r="G1114" s="93" t="s">
        <v>1120</v>
      </c>
      <c r="H1114" s="16" t="s">
        <v>31</v>
      </c>
      <c r="I1114" s="94">
        <v>1</v>
      </c>
      <c r="J1114" s="94">
        <v>2</v>
      </c>
      <c r="K1114" s="94">
        <f t="shared" si="21"/>
        <v>3</v>
      </c>
      <c r="L1114" s="95">
        <v>3500000</v>
      </c>
      <c r="M1114" s="96" t="s">
        <v>1120</v>
      </c>
      <c r="N1114" s="95">
        <v>5500</v>
      </c>
      <c r="O1114" s="94" t="s">
        <v>422</v>
      </c>
      <c r="P1114" s="97">
        <v>55000000</v>
      </c>
      <c r="Q1114" s="96" t="s">
        <v>1642</v>
      </c>
      <c r="R1114" s="95">
        <v>7600</v>
      </c>
      <c r="S1114" s="94" t="s">
        <v>422</v>
      </c>
      <c r="T1114" s="97">
        <f t="shared" si="22"/>
        <v>27500000</v>
      </c>
      <c r="U1114" s="94" t="s">
        <v>22</v>
      </c>
      <c r="V1114" s="94"/>
      <c r="W1114" s="94"/>
      <c r="X1114" s="94"/>
      <c r="Y1114" s="94">
        <v>100</v>
      </c>
      <c r="Z1114" s="94">
        <v>0</v>
      </c>
      <c r="AA1114" s="94">
        <v>0</v>
      </c>
      <c r="AB1114" s="94">
        <v>0</v>
      </c>
      <c r="AC1114" s="94"/>
      <c r="AE1114" s="1"/>
      <c r="AF1114" s="2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</row>
    <row r="1115" spans="1:84" s="3" customFormat="1" ht="20" x14ac:dyDescent="0.2">
      <c r="A1115" s="17" t="s">
        <v>3921</v>
      </c>
      <c r="B1115" s="17" t="s">
        <v>45</v>
      </c>
      <c r="C1115" s="17">
        <v>2025</v>
      </c>
      <c r="D1115" s="17" t="str">
        <f t="array" ref="D1115">_xlfn.SWITCH(E1115,"Bagor","35.18.14","Sukomoro",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5" s="94" t="s">
        <v>92</v>
      </c>
      <c r="F1115" s="93" t="s">
        <v>2538</v>
      </c>
      <c r="G1115" s="93" t="s">
        <v>1120</v>
      </c>
      <c r="H1115" s="16" t="s">
        <v>31</v>
      </c>
      <c r="I1115" s="94">
        <v>1</v>
      </c>
      <c r="J1115" s="94">
        <v>1</v>
      </c>
      <c r="K1115" s="94">
        <f t="shared" si="21"/>
        <v>2</v>
      </c>
      <c r="L1115" s="95">
        <v>5000000</v>
      </c>
      <c r="M1115" s="96" t="s">
        <v>1120</v>
      </c>
      <c r="N1115" s="95">
        <v>7500</v>
      </c>
      <c r="O1115" s="94" t="s">
        <v>422</v>
      </c>
      <c r="P1115" s="97">
        <v>65000000</v>
      </c>
      <c r="Q1115" s="96" t="s">
        <v>1642</v>
      </c>
      <c r="R1115" s="95">
        <v>8000</v>
      </c>
      <c r="S1115" s="94" t="s">
        <v>422</v>
      </c>
      <c r="T1115" s="97">
        <f t="shared" si="22"/>
        <v>32500000</v>
      </c>
      <c r="U1115" s="94" t="s">
        <v>22</v>
      </c>
      <c r="V1115" s="94"/>
      <c r="W1115" s="94"/>
      <c r="X1115" s="94"/>
      <c r="Y1115" s="94">
        <v>100</v>
      </c>
      <c r="Z1115" s="94">
        <v>0</v>
      </c>
      <c r="AA1115" s="94">
        <v>0</v>
      </c>
      <c r="AB1115" s="94">
        <v>0</v>
      </c>
      <c r="AC1115" s="94"/>
      <c r="AE1115" s="1"/>
      <c r="AF1115" s="2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</row>
    <row r="1116" spans="1:84" s="3" customFormat="1" ht="20" x14ac:dyDescent="0.2">
      <c r="A1116" s="17" t="s">
        <v>3921</v>
      </c>
      <c r="B1116" s="17" t="s">
        <v>45</v>
      </c>
      <c r="C1116" s="17">
        <v>2025</v>
      </c>
      <c r="D1116" s="17" t="str">
        <f t="array" ref="D1116">_xlfn.SWITCH(E1116,"Bagor","35.18.14","Sukomoro",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6" s="94" t="s">
        <v>92</v>
      </c>
      <c r="F1116" s="93" t="s">
        <v>2538</v>
      </c>
      <c r="G1116" s="93" t="s">
        <v>1120</v>
      </c>
      <c r="H1116" s="16" t="s">
        <v>31</v>
      </c>
      <c r="I1116" s="94">
        <v>0</v>
      </c>
      <c r="J1116" s="94">
        <v>3</v>
      </c>
      <c r="K1116" s="94">
        <f t="shared" si="21"/>
        <v>3</v>
      </c>
      <c r="L1116" s="95">
        <v>4000000</v>
      </c>
      <c r="M1116" s="96" t="s">
        <v>1120</v>
      </c>
      <c r="N1116" s="95">
        <v>4500</v>
      </c>
      <c r="O1116" s="94" t="s">
        <v>422</v>
      </c>
      <c r="P1116" s="97">
        <v>50000000</v>
      </c>
      <c r="Q1116" s="96" t="s">
        <v>1642</v>
      </c>
      <c r="R1116" s="95">
        <v>6550</v>
      </c>
      <c r="S1116" s="94" t="s">
        <v>422</v>
      </c>
      <c r="T1116" s="97">
        <f t="shared" si="22"/>
        <v>25000000</v>
      </c>
      <c r="U1116" s="94" t="s">
        <v>22</v>
      </c>
      <c r="V1116" s="94"/>
      <c r="W1116" s="94"/>
      <c r="X1116" s="94"/>
      <c r="Y1116" s="94">
        <v>100</v>
      </c>
      <c r="Z1116" s="94">
        <v>0</v>
      </c>
      <c r="AA1116" s="94">
        <v>0</v>
      </c>
      <c r="AB1116" s="94">
        <v>0</v>
      </c>
      <c r="AC1116" s="94"/>
      <c r="AE1116" s="1"/>
      <c r="AF1116" s="2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</row>
    <row r="1117" spans="1:84" s="3" customFormat="1" ht="20" x14ac:dyDescent="0.2">
      <c r="A1117" s="17" t="s">
        <v>3921</v>
      </c>
      <c r="B1117" s="17" t="s">
        <v>45</v>
      </c>
      <c r="C1117" s="17">
        <v>2025</v>
      </c>
      <c r="D1117" s="17" t="str">
        <f t="array" ref="D1117">_xlfn.SWITCH(E1117,"Bagor","35.18.14","Sukomoro",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7" s="94" t="s">
        <v>92</v>
      </c>
      <c r="F1117" s="93" t="s">
        <v>2538</v>
      </c>
      <c r="G1117" s="93" t="s">
        <v>1120</v>
      </c>
      <c r="H1117" s="16" t="s">
        <v>31</v>
      </c>
      <c r="I1117" s="94">
        <v>1</v>
      </c>
      <c r="J1117" s="94">
        <v>1</v>
      </c>
      <c r="K1117" s="94">
        <f t="shared" si="21"/>
        <v>2</v>
      </c>
      <c r="L1117" s="95">
        <v>2500000</v>
      </c>
      <c r="M1117" s="96" t="s">
        <v>1120</v>
      </c>
      <c r="N1117" s="95">
        <v>10000</v>
      </c>
      <c r="O1117" s="94" t="s">
        <v>422</v>
      </c>
      <c r="P1117" s="97">
        <v>80000000</v>
      </c>
      <c r="Q1117" s="96" t="s">
        <v>1642</v>
      </c>
      <c r="R1117" s="95">
        <v>7000</v>
      </c>
      <c r="S1117" s="94" t="s">
        <v>422</v>
      </c>
      <c r="T1117" s="97">
        <f t="shared" si="22"/>
        <v>40000000</v>
      </c>
      <c r="U1117" s="94" t="s">
        <v>22</v>
      </c>
      <c r="V1117" s="94"/>
      <c r="W1117" s="94"/>
      <c r="X1117" s="94"/>
      <c r="Y1117" s="94">
        <v>100</v>
      </c>
      <c r="Z1117" s="94">
        <v>0</v>
      </c>
      <c r="AA1117" s="94">
        <v>0</v>
      </c>
      <c r="AB1117" s="94">
        <v>0</v>
      </c>
      <c r="AC1117" s="94"/>
      <c r="AE1117" s="1"/>
      <c r="AF1117" s="2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</row>
    <row r="1118" spans="1:84" s="3" customFormat="1" ht="20" x14ac:dyDescent="0.2">
      <c r="A1118" s="17" t="s">
        <v>3921</v>
      </c>
      <c r="B1118" s="17" t="s">
        <v>45</v>
      </c>
      <c r="C1118" s="17">
        <v>2025</v>
      </c>
      <c r="D1118" s="17" t="str">
        <f t="array" ref="D1118">_xlfn.SWITCH(E1118,"Bagor","35.18.14","Sukomoro",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8" s="94" t="s">
        <v>92</v>
      </c>
      <c r="F1118" s="93" t="s">
        <v>2538</v>
      </c>
      <c r="G1118" s="93" t="s">
        <v>2539</v>
      </c>
      <c r="H1118" s="16" t="s">
        <v>31</v>
      </c>
      <c r="I1118" s="94">
        <v>1</v>
      </c>
      <c r="J1118" s="94">
        <v>2</v>
      </c>
      <c r="K1118" s="94">
        <f t="shared" si="21"/>
        <v>3</v>
      </c>
      <c r="L1118" s="95">
        <v>2000000</v>
      </c>
      <c r="M1118" s="96" t="s">
        <v>2540</v>
      </c>
      <c r="N1118" s="95">
        <v>5000</v>
      </c>
      <c r="O1118" s="94" t="s">
        <v>422</v>
      </c>
      <c r="P1118" s="97">
        <v>10000000</v>
      </c>
      <c r="Q1118" s="96" t="s">
        <v>1655</v>
      </c>
      <c r="R1118" s="95">
        <v>7500</v>
      </c>
      <c r="S1118" s="94" t="s">
        <v>422</v>
      </c>
      <c r="T1118" s="97">
        <f t="shared" si="22"/>
        <v>5000000</v>
      </c>
      <c r="U1118" s="94" t="s">
        <v>22</v>
      </c>
      <c r="V1118" s="94"/>
      <c r="W1118" s="94"/>
      <c r="X1118" s="94"/>
      <c r="Y1118" s="94">
        <v>100</v>
      </c>
      <c r="Z1118" s="94">
        <v>0</v>
      </c>
      <c r="AA1118" s="94">
        <v>0</v>
      </c>
      <c r="AB1118" s="94">
        <v>0</v>
      </c>
      <c r="AC1118" s="94"/>
      <c r="AE1118" s="1"/>
      <c r="AF1118" s="2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</row>
    <row r="1119" spans="1:84" s="3" customFormat="1" ht="20" x14ac:dyDescent="0.2">
      <c r="A1119" s="17" t="s">
        <v>3921</v>
      </c>
      <c r="B1119" s="17" t="s">
        <v>45</v>
      </c>
      <c r="C1119" s="17">
        <v>2025</v>
      </c>
      <c r="D1119" s="17" t="str">
        <f t="array" ref="D1119">_xlfn.SWITCH(E1119,"Bagor","35.18.14","Sukomoro",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9" s="94" t="s">
        <v>92</v>
      </c>
      <c r="F1119" s="93" t="s">
        <v>2541</v>
      </c>
      <c r="G1119" s="93" t="s">
        <v>2542</v>
      </c>
      <c r="H1119" s="16" t="s">
        <v>31</v>
      </c>
      <c r="I1119" s="94">
        <v>1</v>
      </c>
      <c r="J1119" s="94">
        <v>3</v>
      </c>
      <c r="K1119" s="94">
        <f t="shared" si="21"/>
        <v>4</v>
      </c>
      <c r="L1119" s="95">
        <v>15000000</v>
      </c>
      <c r="M1119" s="96" t="s">
        <v>2142</v>
      </c>
      <c r="N1119" s="95">
        <v>15000</v>
      </c>
      <c r="O1119" s="94" t="s">
        <v>422</v>
      </c>
      <c r="P1119" s="97">
        <v>75000000</v>
      </c>
      <c r="Q1119" s="96" t="s">
        <v>2434</v>
      </c>
      <c r="R1119" s="95">
        <v>30000</v>
      </c>
      <c r="S1119" s="94" t="s">
        <v>422</v>
      </c>
      <c r="T1119" s="97">
        <f t="shared" si="22"/>
        <v>37500000</v>
      </c>
      <c r="U1119" s="94" t="s">
        <v>22</v>
      </c>
      <c r="V1119" s="94"/>
      <c r="W1119" s="94"/>
      <c r="X1119" s="94"/>
      <c r="Y1119" s="94">
        <v>70</v>
      </c>
      <c r="Z1119" s="94">
        <v>30</v>
      </c>
      <c r="AA1119" s="94">
        <v>0</v>
      </c>
      <c r="AB1119" s="94">
        <v>0</v>
      </c>
      <c r="AC1119" s="94"/>
      <c r="AE1119" s="1"/>
      <c r="AF1119" s="2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</row>
    <row r="1120" spans="1:84" s="3" customFormat="1" ht="20" x14ac:dyDescent="0.2">
      <c r="A1120" s="17" t="s">
        <v>3921</v>
      </c>
      <c r="B1120" s="17" t="s">
        <v>45</v>
      </c>
      <c r="C1120" s="17">
        <v>2025</v>
      </c>
      <c r="D1120" s="17" t="str">
        <f t="array" ref="D1120">_xlfn.SWITCH(E1120,"Bagor","35.18.14","Sukomoro",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0" s="94" t="s">
        <v>92</v>
      </c>
      <c r="F1120" s="93" t="s">
        <v>2543</v>
      </c>
      <c r="G1120" s="93" t="s">
        <v>2264</v>
      </c>
      <c r="H1120" s="16" t="s">
        <v>31</v>
      </c>
      <c r="I1120" s="94">
        <v>1</v>
      </c>
      <c r="J1120" s="94">
        <v>2</v>
      </c>
      <c r="K1120" s="94">
        <f t="shared" si="21"/>
        <v>3</v>
      </c>
      <c r="L1120" s="95">
        <v>5000000</v>
      </c>
      <c r="M1120" s="96" t="s">
        <v>2264</v>
      </c>
      <c r="N1120" s="95">
        <v>10000</v>
      </c>
      <c r="O1120" s="94" t="s">
        <v>422</v>
      </c>
      <c r="P1120" s="97">
        <v>65000000</v>
      </c>
      <c r="Q1120" s="96" t="s">
        <v>2434</v>
      </c>
      <c r="R1120" s="95">
        <v>25000</v>
      </c>
      <c r="S1120" s="94" t="s">
        <v>422</v>
      </c>
      <c r="T1120" s="97">
        <f t="shared" si="22"/>
        <v>32500000</v>
      </c>
      <c r="U1120" s="94" t="s">
        <v>22</v>
      </c>
      <c r="V1120" s="94"/>
      <c r="W1120" s="94"/>
      <c r="X1120" s="94"/>
      <c r="Y1120" s="94">
        <v>100</v>
      </c>
      <c r="Z1120" s="94">
        <v>0</v>
      </c>
      <c r="AA1120" s="94">
        <v>0</v>
      </c>
      <c r="AB1120" s="94">
        <v>0</v>
      </c>
      <c r="AC1120" s="94"/>
      <c r="AE1120" s="1"/>
      <c r="AF1120" s="2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</row>
    <row r="1121" spans="1:84" s="3" customFormat="1" ht="20" x14ac:dyDescent="0.2">
      <c r="A1121" s="17" t="s">
        <v>3921</v>
      </c>
      <c r="B1121" s="17" t="s">
        <v>45</v>
      </c>
      <c r="C1121" s="17">
        <v>2025</v>
      </c>
      <c r="D1121" s="17" t="str">
        <f t="array" ref="D1121">_xlfn.SWITCH(E1121,"Bagor","35.18.14","Sukomoro",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1" s="94" t="s">
        <v>92</v>
      </c>
      <c r="F1121" s="93" t="s">
        <v>2544</v>
      </c>
      <c r="G1121" s="93" t="s">
        <v>258</v>
      </c>
      <c r="H1121" s="16" t="s">
        <v>31</v>
      </c>
      <c r="I1121" s="94">
        <v>2</v>
      </c>
      <c r="J1121" s="94">
        <v>5</v>
      </c>
      <c r="K1121" s="94">
        <f t="shared" si="21"/>
        <v>7</v>
      </c>
      <c r="L1121" s="95">
        <v>10000000</v>
      </c>
      <c r="M1121" s="96" t="s">
        <v>258</v>
      </c>
      <c r="N1121" s="95">
        <v>8000</v>
      </c>
      <c r="O1121" s="94" t="s">
        <v>1803</v>
      </c>
      <c r="P1121" s="97">
        <v>20000000</v>
      </c>
      <c r="Q1121" s="96" t="s">
        <v>1958</v>
      </c>
      <c r="R1121" s="95">
        <v>30000</v>
      </c>
      <c r="S1121" s="94" t="s">
        <v>422</v>
      </c>
      <c r="T1121" s="97">
        <f t="shared" si="22"/>
        <v>10000000</v>
      </c>
      <c r="U1121" s="94" t="s">
        <v>22</v>
      </c>
      <c r="V1121" s="94"/>
      <c r="W1121" s="94"/>
      <c r="X1121" s="94"/>
      <c r="Y1121" s="94">
        <v>60</v>
      </c>
      <c r="Z1121" s="94">
        <v>30</v>
      </c>
      <c r="AA1121" s="94">
        <v>30</v>
      </c>
      <c r="AB1121" s="94">
        <v>0</v>
      </c>
      <c r="AC1121" s="94"/>
      <c r="AE1121" s="1"/>
      <c r="AF1121" s="2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  <c r="AU1121" s="1"/>
      <c r="AV1121" s="1"/>
      <c r="AW1121" s="1"/>
      <c r="AX1121" s="1"/>
      <c r="AY1121" s="1"/>
      <c r="AZ1121" s="1"/>
      <c r="BA1121" s="1"/>
      <c r="BB1121" s="1"/>
      <c r="BC1121" s="1"/>
      <c r="BD1121" s="1"/>
      <c r="BE1121" s="1"/>
      <c r="BF1121" s="1"/>
      <c r="BG1121" s="1"/>
      <c r="BH1121" s="1"/>
      <c r="BI1121" s="1"/>
      <c r="BJ1121" s="1"/>
      <c r="BK1121" s="1"/>
      <c r="BL1121" s="1"/>
      <c r="BM1121" s="1"/>
      <c r="BN1121" s="1"/>
      <c r="BO1121" s="1"/>
      <c r="BP1121" s="1"/>
      <c r="BQ1121" s="1"/>
      <c r="BR1121" s="1"/>
      <c r="BS1121" s="1"/>
      <c r="BT1121" s="1"/>
      <c r="BU1121" s="1"/>
      <c r="BV1121" s="1"/>
      <c r="BW1121" s="1"/>
      <c r="BX1121" s="1"/>
      <c r="BY1121" s="1"/>
      <c r="BZ1121" s="1"/>
      <c r="CA1121" s="1"/>
      <c r="CB1121" s="1"/>
      <c r="CC1121" s="1"/>
      <c r="CD1121" s="1"/>
      <c r="CE1121" s="1"/>
      <c r="CF1121" s="1"/>
    </row>
    <row r="1122" spans="1:84" s="3" customFormat="1" ht="20" x14ac:dyDescent="0.2">
      <c r="A1122" s="17" t="s">
        <v>3921</v>
      </c>
      <c r="B1122" s="17" t="s">
        <v>45</v>
      </c>
      <c r="C1122" s="17">
        <v>2025</v>
      </c>
      <c r="D1122" s="17" t="str">
        <f t="array" ref="D1122">_xlfn.SWITCH(E1122,"Bagor","35.18.14","Sukomoro",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2" s="94" t="s">
        <v>92</v>
      </c>
      <c r="F1122" s="93" t="s">
        <v>2545</v>
      </c>
      <c r="G1122" s="93" t="s">
        <v>258</v>
      </c>
      <c r="H1122" s="16" t="s">
        <v>31</v>
      </c>
      <c r="I1122" s="94">
        <v>2</v>
      </c>
      <c r="J1122" s="94">
        <v>3</v>
      </c>
      <c r="K1122" s="94">
        <f t="shared" si="21"/>
        <v>5</v>
      </c>
      <c r="L1122" s="95">
        <v>7000000</v>
      </c>
      <c r="M1122" s="96" t="s">
        <v>258</v>
      </c>
      <c r="N1122" s="95">
        <v>5000</v>
      </c>
      <c r="O1122" s="94" t="s">
        <v>1803</v>
      </c>
      <c r="P1122" s="97">
        <v>39000000</v>
      </c>
      <c r="Q1122" s="96" t="s">
        <v>2546</v>
      </c>
      <c r="R1122" s="95">
        <v>250000</v>
      </c>
      <c r="S1122" s="94" t="s">
        <v>422</v>
      </c>
      <c r="T1122" s="97">
        <f t="shared" si="22"/>
        <v>19500000</v>
      </c>
      <c r="U1122" s="94" t="s">
        <v>22</v>
      </c>
      <c r="V1122" s="94"/>
      <c r="W1122" s="94"/>
      <c r="X1122" s="94"/>
      <c r="Y1122" s="94">
        <v>50</v>
      </c>
      <c r="Z1122" s="94">
        <v>50</v>
      </c>
      <c r="AA1122" s="94">
        <v>0</v>
      </c>
      <c r="AB1122" s="94">
        <v>0</v>
      </c>
      <c r="AC1122" s="94"/>
      <c r="AE1122" s="1"/>
      <c r="AF1122" s="2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/>
      <c r="AY1122" s="1"/>
      <c r="AZ1122" s="1"/>
      <c r="BA1122" s="1"/>
      <c r="BB1122" s="1"/>
      <c r="BC1122" s="1"/>
      <c r="BD1122" s="1"/>
      <c r="BE1122" s="1"/>
      <c r="BF1122" s="1"/>
      <c r="BG1122" s="1"/>
      <c r="BH1122" s="1"/>
      <c r="BI1122" s="1"/>
      <c r="BJ1122" s="1"/>
      <c r="BK1122" s="1"/>
      <c r="BL1122" s="1"/>
      <c r="BM1122" s="1"/>
      <c r="BN1122" s="1"/>
      <c r="BO1122" s="1"/>
      <c r="BP1122" s="1"/>
      <c r="BQ1122" s="1"/>
      <c r="BR1122" s="1"/>
      <c r="BS1122" s="1"/>
      <c r="BT1122" s="1"/>
      <c r="BU1122" s="1"/>
      <c r="BV1122" s="1"/>
      <c r="BW1122" s="1"/>
      <c r="BX1122" s="1"/>
      <c r="BY1122" s="1"/>
      <c r="BZ1122" s="1"/>
      <c r="CA1122" s="1"/>
      <c r="CB1122" s="1"/>
      <c r="CC1122" s="1"/>
      <c r="CD1122" s="1"/>
      <c r="CE1122" s="1"/>
      <c r="CF1122" s="1"/>
    </row>
    <row r="1123" spans="1:84" s="3" customFormat="1" ht="20" x14ac:dyDescent="0.2">
      <c r="A1123" s="17" t="s">
        <v>3921</v>
      </c>
      <c r="B1123" s="17" t="s">
        <v>45</v>
      </c>
      <c r="C1123" s="17">
        <v>2025</v>
      </c>
      <c r="D1123" s="17" t="str">
        <f t="array" ref="D1123">_xlfn.SWITCH(E1123,"Bagor","35.18.14","Sukomoro",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3" s="94" t="s">
        <v>92</v>
      </c>
      <c r="F1123" s="93" t="s">
        <v>2547</v>
      </c>
      <c r="G1123" s="93" t="s">
        <v>258</v>
      </c>
      <c r="H1123" s="16" t="s">
        <v>31</v>
      </c>
      <c r="I1123" s="94">
        <v>3</v>
      </c>
      <c r="J1123" s="94">
        <v>2</v>
      </c>
      <c r="K1123" s="94">
        <f t="shared" si="21"/>
        <v>5</v>
      </c>
      <c r="L1123" s="95">
        <v>5000000</v>
      </c>
      <c r="M1123" s="96" t="s">
        <v>258</v>
      </c>
      <c r="N1123" s="95">
        <v>6500</v>
      </c>
      <c r="O1123" s="94" t="s">
        <v>1803</v>
      </c>
      <c r="P1123" s="97">
        <v>32100000</v>
      </c>
      <c r="Q1123" s="96" t="s">
        <v>1958</v>
      </c>
      <c r="R1123" s="95">
        <v>100000</v>
      </c>
      <c r="S1123" s="94" t="s">
        <v>422</v>
      </c>
      <c r="T1123" s="97">
        <f t="shared" si="22"/>
        <v>16050000</v>
      </c>
      <c r="U1123" s="94" t="s">
        <v>22</v>
      </c>
      <c r="V1123" s="94"/>
      <c r="W1123" s="94"/>
      <c r="X1123" s="94"/>
      <c r="Y1123" s="94">
        <v>70</v>
      </c>
      <c r="Z1123" s="94">
        <v>30</v>
      </c>
      <c r="AA1123" s="94">
        <v>0</v>
      </c>
      <c r="AB1123" s="94">
        <v>0</v>
      </c>
      <c r="AC1123" s="94"/>
      <c r="AE1123" s="1"/>
      <c r="AF1123" s="2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  <c r="BE1123" s="1"/>
      <c r="BF1123" s="1"/>
      <c r="BG1123" s="1"/>
      <c r="BH1123" s="1"/>
      <c r="BI1123" s="1"/>
      <c r="BJ1123" s="1"/>
      <c r="BK1123" s="1"/>
      <c r="BL1123" s="1"/>
      <c r="BM1123" s="1"/>
      <c r="BN1123" s="1"/>
      <c r="BO1123" s="1"/>
      <c r="BP1123" s="1"/>
      <c r="BQ1123" s="1"/>
      <c r="BR1123" s="1"/>
      <c r="BS1123" s="1"/>
      <c r="BT1123" s="1"/>
      <c r="BU1123" s="1"/>
      <c r="BV1123" s="1"/>
      <c r="BW1123" s="1"/>
      <c r="BX1123" s="1"/>
      <c r="BY1123" s="1"/>
      <c r="BZ1123" s="1"/>
      <c r="CA1123" s="1"/>
      <c r="CB1123" s="1"/>
      <c r="CC1123" s="1"/>
      <c r="CD1123" s="1"/>
      <c r="CE1123" s="1"/>
      <c r="CF1123" s="1"/>
    </row>
    <row r="1124" spans="1:84" s="3" customFormat="1" x14ac:dyDescent="0.2">
      <c r="A1124" s="17" t="s">
        <v>3921</v>
      </c>
      <c r="B1124" s="17" t="s">
        <v>45</v>
      </c>
      <c r="C1124" s="17">
        <v>2025</v>
      </c>
      <c r="D1124" s="17" t="str">
        <f t="array" ref="D1124">_xlfn.SWITCH(E1124,"Jatikalen","35.18.20","Kertosono", "35.18.08","Lengkong","35.18.19","Loceret","35.18.04","Tanjunganom","35.18.11","Wilangan","35.18.15")</f>
        <v>35.18.04</v>
      </c>
      <c r="E1124" s="94" t="s">
        <v>41</v>
      </c>
      <c r="F1124" s="93" t="s">
        <v>2548</v>
      </c>
      <c r="G1124" s="93" t="s">
        <v>258</v>
      </c>
      <c r="H1124" s="16" t="s">
        <v>31</v>
      </c>
      <c r="I1124" s="94">
        <v>3</v>
      </c>
      <c r="J1124" s="94">
        <v>4</v>
      </c>
      <c r="K1124" s="94">
        <f t="shared" si="21"/>
        <v>7</v>
      </c>
      <c r="L1124" s="95">
        <v>15000000</v>
      </c>
      <c r="M1124" s="96" t="s">
        <v>258</v>
      </c>
      <c r="N1124" s="95">
        <v>7400</v>
      </c>
      <c r="O1124" s="94" t="s">
        <v>1803</v>
      </c>
      <c r="P1124" s="97">
        <v>23400000</v>
      </c>
      <c r="Q1124" s="96" t="s">
        <v>1958</v>
      </c>
      <c r="R1124" s="95">
        <v>85000</v>
      </c>
      <c r="S1124" s="94" t="s">
        <v>422</v>
      </c>
      <c r="T1124" s="97">
        <f t="shared" si="22"/>
        <v>11700000</v>
      </c>
      <c r="U1124" s="94" t="s">
        <v>22</v>
      </c>
      <c r="V1124" s="94"/>
      <c r="W1124" s="94"/>
      <c r="X1124" s="94"/>
      <c r="Y1124" s="94">
        <v>60</v>
      </c>
      <c r="Z1124" s="94">
        <v>40</v>
      </c>
      <c r="AA1124" s="94">
        <v>0</v>
      </c>
      <c r="AB1124" s="94">
        <v>0</v>
      </c>
      <c r="AC1124" s="94"/>
      <c r="AE1124" s="1"/>
      <c r="AF1124" s="2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  <c r="BE1124" s="1"/>
      <c r="BF1124" s="1"/>
      <c r="BG1124" s="1"/>
      <c r="BH1124" s="1"/>
      <c r="BI1124" s="1"/>
      <c r="BJ1124" s="1"/>
      <c r="BK1124" s="1"/>
      <c r="BL1124" s="1"/>
      <c r="BM1124" s="1"/>
      <c r="BN1124" s="1"/>
      <c r="BO1124" s="1"/>
      <c r="BP1124" s="1"/>
      <c r="BQ1124" s="1"/>
      <c r="BR1124" s="1"/>
      <c r="BS1124" s="1"/>
      <c r="BT1124" s="1"/>
      <c r="BU1124" s="1"/>
      <c r="BV1124" s="1"/>
      <c r="BW1124" s="1"/>
      <c r="BX1124" s="1"/>
      <c r="BY1124" s="1"/>
      <c r="BZ1124" s="1"/>
      <c r="CA1124" s="1"/>
      <c r="CB1124" s="1"/>
      <c r="CC1124" s="1"/>
      <c r="CD1124" s="1"/>
      <c r="CE1124" s="1"/>
      <c r="CF1124" s="1"/>
    </row>
    <row r="1125" spans="1:84" s="3" customFormat="1" x14ac:dyDescent="0.2">
      <c r="A1125" s="17" t="s">
        <v>3921</v>
      </c>
      <c r="B1125" s="17" t="s">
        <v>45</v>
      </c>
      <c r="C1125" s="17">
        <v>2025</v>
      </c>
      <c r="D1125" s="17" t="str">
        <f t="array" ref="D1125">_xlfn.SWITCH(E1125,"Jatikalen","35.18.20","Kertosono", "35.18.08","Lengkong","35.18.19","Loceret","35.18.04","Tanjunganom","35.18.11","Wilangan","35.18.15")</f>
        <v>35.18.04</v>
      </c>
      <c r="E1125" s="94" t="s">
        <v>41</v>
      </c>
      <c r="F1125" s="93" t="s">
        <v>1970</v>
      </c>
      <c r="G1125" s="93" t="s">
        <v>2520</v>
      </c>
      <c r="H1125" s="16" t="s">
        <v>31</v>
      </c>
      <c r="I1125" s="94">
        <v>3</v>
      </c>
      <c r="J1125" s="94">
        <v>1</v>
      </c>
      <c r="K1125" s="94">
        <f t="shared" si="21"/>
        <v>4</v>
      </c>
      <c r="L1125" s="95">
        <v>5000000</v>
      </c>
      <c r="M1125" s="96" t="s">
        <v>2520</v>
      </c>
      <c r="N1125" s="95">
        <v>2500</v>
      </c>
      <c r="O1125" s="94" t="s">
        <v>422</v>
      </c>
      <c r="P1125" s="97">
        <f>N1125*7000</f>
        <v>17500000</v>
      </c>
      <c r="Q1125" s="96" t="s">
        <v>2549</v>
      </c>
      <c r="R1125" s="95">
        <v>50000</v>
      </c>
      <c r="S1125" s="94" t="s">
        <v>422</v>
      </c>
      <c r="T1125" s="97">
        <f>R1125*2000</f>
        <v>100000000</v>
      </c>
      <c r="U1125" s="94" t="s">
        <v>22</v>
      </c>
      <c r="V1125" s="94"/>
      <c r="W1125" s="94"/>
      <c r="X1125" s="94"/>
      <c r="Y1125" s="94">
        <v>100</v>
      </c>
      <c r="Z1125" s="94">
        <v>0</v>
      </c>
      <c r="AA1125" s="94">
        <v>0</v>
      </c>
      <c r="AB1125" s="94">
        <v>0</v>
      </c>
      <c r="AC1125" s="94"/>
      <c r="AE1125" s="1"/>
      <c r="AF1125" s="2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  <c r="AZ1125" s="1"/>
      <c r="BA1125" s="1"/>
      <c r="BB1125" s="1"/>
      <c r="BC1125" s="1"/>
      <c r="BD1125" s="1"/>
      <c r="BE1125" s="1"/>
      <c r="BF1125" s="1"/>
      <c r="BG1125" s="1"/>
      <c r="BH1125" s="1"/>
      <c r="BI1125" s="1"/>
      <c r="BJ1125" s="1"/>
      <c r="BK1125" s="1"/>
      <c r="BL1125" s="1"/>
      <c r="BM1125" s="1"/>
      <c r="BN1125" s="1"/>
      <c r="BO1125" s="1"/>
      <c r="BP1125" s="1"/>
      <c r="BQ1125" s="1"/>
      <c r="BR1125" s="1"/>
      <c r="BS1125" s="1"/>
      <c r="BT1125" s="1"/>
      <c r="BU1125" s="1"/>
      <c r="BV1125" s="1"/>
      <c r="BW1125" s="1"/>
      <c r="BX1125" s="1"/>
      <c r="BY1125" s="1"/>
      <c r="BZ1125" s="1"/>
      <c r="CA1125" s="1"/>
      <c r="CB1125" s="1"/>
      <c r="CC1125" s="1"/>
      <c r="CD1125" s="1"/>
      <c r="CE1125" s="1"/>
      <c r="CF1125" s="1"/>
    </row>
    <row r="1126" spans="1:84" s="3" customFormat="1" x14ac:dyDescent="0.2">
      <c r="A1126" s="17" t="s">
        <v>3921</v>
      </c>
      <c r="B1126" s="17" t="s">
        <v>45</v>
      </c>
      <c r="C1126" s="17">
        <v>2025</v>
      </c>
      <c r="D1126" s="17" t="str">
        <f t="array" ref="D1126">_xlfn.SWITCH(E1126,"Jatikalen","35.18.20","Kertosono", "35.18.08","Lengkong","35.18.19","Loceret","35.18.04","Tanjunganom","35.18.11","Wilangan","35.18.15")</f>
        <v>35.18.04</v>
      </c>
      <c r="E1126" s="94" t="s">
        <v>41</v>
      </c>
      <c r="F1126" s="93" t="s">
        <v>1970</v>
      </c>
      <c r="G1126" s="93" t="s">
        <v>2520</v>
      </c>
      <c r="H1126" s="16" t="s">
        <v>31</v>
      </c>
      <c r="I1126" s="94">
        <v>2</v>
      </c>
      <c r="J1126" s="94">
        <v>1</v>
      </c>
      <c r="K1126" s="94">
        <f t="shared" si="21"/>
        <v>3</v>
      </c>
      <c r="L1126" s="95">
        <v>10000000</v>
      </c>
      <c r="M1126" s="96" t="s">
        <v>2520</v>
      </c>
      <c r="N1126" s="95">
        <v>7500</v>
      </c>
      <c r="O1126" s="94" t="s">
        <v>422</v>
      </c>
      <c r="P1126" s="97">
        <f>N1126*5000</f>
        <v>37500000</v>
      </c>
      <c r="Q1126" s="96" t="s">
        <v>2549</v>
      </c>
      <c r="R1126" s="95">
        <v>125000</v>
      </c>
      <c r="S1126" s="94" t="s">
        <v>422</v>
      </c>
      <c r="T1126" s="97">
        <f>R1126*2000</f>
        <v>250000000</v>
      </c>
      <c r="U1126" s="94" t="s">
        <v>22</v>
      </c>
      <c r="V1126" s="94"/>
      <c r="W1126" s="94"/>
      <c r="X1126" s="94"/>
      <c r="Y1126" s="94">
        <v>100</v>
      </c>
      <c r="Z1126" s="94">
        <v>0</v>
      </c>
      <c r="AA1126" s="94">
        <v>0</v>
      </c>
      <c r="AB1126" s="94">
        <v>0</v>
      </c>
      <c r="AC1126" s="94"/>
      <c r="AE1126" s="1"/>
      <c r="AF1126" s="2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  <c r="AZ1126" s="1"/>
      <c r="BA1126" s="1"/>
      <c r="BB1126" s="1"/>
      <c r="BC1126" s="1"/>
      <c r="BD1126" s="1"/>
      <c r="BE1126" s="1"/>
      <c r="BF1126" s="1"/>
      <c r="BG1126" s="1"/>
      <c r="BH1126" s="1"/>
      <c r="BI1126" s="1"/>
      <c r="BJ1126" s="1"/>
      <c r="BK1126" s="1"/>
      <c r="BL1126" s="1"/>
      <c r="BM1126" s="1"/>
      <c r="BN1126" s="1"/>
      <c r="BO1126" s="1"/>
      <c r="BP1126" s="1"/>
      <c r="BQ1126" s="1"/>
      <c r="BR1126" s="1"/>
      <c r="BS1126" s="1"/>
      <c r="BT1126" s="1"/>
      <c r="BU1126" s="1"/>
      <c r="BV1126" s="1"/>
      <c r="BW1126" s="1"/>
      <c r="BX1126" s="1"/>
      <c r="BY1126" s="1"/>
      <c r="BZ1126" s="1"/>
      <c r="CA1126" s="1"/>
      <c r="CB1126" s="1"/>
      <c r="CC1126" s="1"/>
      <c r="CD1126" s="1"/>
      <c r="CE1126" s="1"/>
      <c r="CF1126" s="1"/>
    </row>
    <row r="1127" spans="1:84" s="3" customFormat="1" ht="20" x14ac:dyDescent="0.2">
      <c r="A1127" s="17" t="s">
        <v>3921</v>
      </c>
      <c r="B1127" s="17" t="s">
        <v>45</v>
      </c>
      <c r="C1127" s="17">
        <v>2025</v>
      </c>
      <c r="D1127" s="17" t="str">
        <f t="array" ref="D1127">_xlfn.SWITCH(E1127,"Jatikalen","35.18.20","Kertosono", "35.18.08","Lengkong","35.18.19","Loceret","35.18.04","Tanjunganom","35.18.11","Wilangan","35.18.15")</f>
        <v>35.18.04</v>
      </c>
      <c r="E1127" s="94" t="s">
        <v>41</v>
      </c>
      <c r="F1127" s="93" t="s">
        <v>2550</v>
      </c>
      <c r="G1127" s="93" t="s">
        <v>2551</v>
      </c>
      <c r="H1127" s="16" t="s">
        <v>31</v>
      </c>
      <c r="I1127" s="94">
        <v>1</v>
      </c>
      <c r="J1127" s="94">
        <v>2</v>
      </c>
      <c r="K1127" s="94">
        <f t="shared" si="21"/>
        <v>3</v>
      </c>
      <c r="L1127" s="95">
        <v>3000000</v>
      </c>
      <c r="M1127" s="96" t="s">
        <v>2551</v>
      </c>
      <c r="N1127" s="95">
        <v>7000</v>
      </c>
      <c r="O1127" s="94" t="s">
        <v>422</v>
      </c>
      <c r="P1127" s="97">
        <f>N1127*6500</f>
        <v>45500000</v>
      </c>
      <c r="Q1127" s="96" t="s">
        <v>2528</v>
      </c>
      <c r="R1127" s="95">
        <v>14000</v>
      </c>
      <c r="S1127" s="94" t="s">
        <v>422</v>
      </c>
      <c r="T1127" s="97">
        <f>R1127*15000</f>
        <v>210000000</v>
      </c>
      <c r="U1127" s="94" t="s">
        <v>22</v>
      </c>
      <c r="V1127" s="94"/>
      <c r="W1127" s="94"/>
      <c r="X1127" s="94"/>
      <c r="Y1127" s="94">
        <v>100</v>
      </c>
      <c r="Z1127" s="94">
        <v>0</v>
      </c>
      <c r="AA1127" s="94">
        <v>0</v>
      </c>
      <c r="AB1127" s="94">
        <v>0</v>
      </c>
      <c r="AC1127" s="94"/>
      <c r="AE1127" s="1"/>
      <c r="AF1127" s="2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/>
      <c r="AU1127" s="1"/>
      <c r="AV1127" s="1"/>
      <c r="AW1127" s="1"/>
      <c r="AX1127" s="1"/>
      <c r="AY1127" s="1"/>
      <c r="AZ1127" s="1"/>
      <c r="BA1127" s="1"/>
      <c r="BB1127" s="1"/>
      <c r="BC1127" s="1"/>
      <c r="BD1127" s="1"/>
      <c r="BE1127" s="1"/>
      <c r="BF1127" s="1"/>
      <c r="BG1127" s="1"/>
      <c r="BH1127" s="1"/>
      <c r="BI1127" s="1"/>
      <c r="BJ1127" s="1"/>
      <c r="BK1127" s="1"/>
      <c r="BL1127" s="1"/>
      <c r="BM1127" s="1"/>
      <c r="BN1127" s="1"/>
      <c r="BO1127" s="1"/>
      <c r="BP1127" s="1"/>
      <c r="BQ1127" s="1"/>
      <c r="BR1127" s="1"/>
      <c r="BS1127" s="1"/>
      <c r="BT1127" s="1"/>
      <c r="BU1127" s="1"/>
      <c r="BV1127" s="1"/>
      <c r="BW1127" s="1"/>
      <c r="BX1127" s="1"/>
      <c r="BY1127" s="1"/>
      <c r="BZ1127" s="1"/>
      <c r="CA1127" s="1"/>
      <c r="CB1127" s="1"/>
      <c r="CC1127" s="1"/>
      <c r="CD1127" s="1"/>
      <c r="CE1127" s="1"/>
      <c r="CF1127" s="1"/>
    </row>
    <row r="1128" spans="1:84" s="3" customFormat="1" ht="20" x14ac:dyDescent="0.2">
      <c r="A1128" s="17" t="s">
        <v>3921</v>
      </c>
      <c r="B1128" s="17" t="s">
        <v>45</v>
      </c>
      <c r="C1128" s="17">
        <v>2025</v>
      </c>
      <c r="D1128" s="17" t="str">
        <f t="array" ref="D1128">_xlfn.SWITCH(E1128,"Jatikalen","35.18.20","Kertosono", "35.18.08","Lengkong","35.18.19","Loceret","35.18.04","Tanjunganom","35.18.11","Wilangan","35.18.15")</f>
        <v>35.18.04</v>
      </c>
      <c r="E1128" s="94" t="s">
        <v>41</v>
      </c>
      <c r="F1128" s="93" t="s">
        <v>2552</v>
      </c>
      <c r="G1128" s="93" t="s">
        <v>2553</v>
      </c>
      <c r="H1128" s="16" t="s">
        <v>31</v>
      </c>
      <c r="I1128" s="94">
        <v>2</v>
      </c>
      <c r="J1128" s="94">
        <v>2</v>
      </c>
      <c r="K1128" s="94">
        <f t="shared" si="21"/>
        <v>4</v>
      </c>
      <c r="L1128" s="95">
        <v>5000000</v>
      </c>
      <c r="M1128" s="96" t="s">
        <v>2553</v>
      </c>
      <c r="N1128" s="95">
        <v>2000</v>
      </c>
      <c r="O1128" s="94" t="s">
        <v>1130</v>
      </c>
      <c r="P1128" s="97">
        <f>N1128*5000</f>
        <v>10000000</v>
      </c>
      <c r="Q1128" s="96" t="s">
        <v>2554</v>
      </c>
      <c r="R1128" s="95">
        <v>5000</v>
      </c>
      <c r="S1128" s="94" t="s">
        <v>1116</v>
      </c>
      <c r="T1128" s="97">
        <f>R1128*10000</f>
        <v>50000000</v>
      </c>
      <c r="U1128" s="94" t="s">
        <v>22</v>
      </c>
      <c r="V1128" s="94"/>
      <c r="W1128" s="94"/>
      <c r="X1128" s="94"/>
      <c r="Y1128" s="94">
        <v>100</v>
      </c>
      <c r="Z1128" s="94">
        <v>0</v>
      </c>
      <c r="AA1128" s="94">
        <v>0</v>
      </c>
      <c r="AB1128" s="94">
        <v>0</v>
      </c>
      <c r="AC1128" s="94"/>
      <c r="AE1128" s="1"/>
      <c r="AF1128" s="2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/>
      <c r="BB1128" s="1"/>
      <c r="BC1128" s="1"/>
      <c r="BD1128" s="1"/>
      <c r="BE1128" s="1"/>
      <c r="BF1128" s="1"/>
      <c r="BG1128" s="1"/>
      <c r="BH1128" s="1"/>
      <c r="BI1128" s="1"/>
      <c r="BJ1128" s="1"/>
      <c r="BK1128" s="1"/>
      <c r="BL1128" s="1"/>
      <c r="BM1128" s="1"/>
      <c r="BN1128" s="1"/>
      <c r="BO1128" s="1"/>
      <c r="BP1128" s="1"/>
      <c r="BQ1128" s="1"/>
      <c r="BR1128" s="1"/>
      <c r="BS1128" s="1"/>
      <c r="BT1128" s="1"/>
      <c r="BU1128" s="1"/>
      <c r="BV1128" s="1"/>
      <c r="BW1128" s="1"/>
      <c r="BX1128" s="1"/>
      <c r="BY1128" s="1"/>
      <c r="BZ1128" s="1"/>
      <c r="CA1128" s="1"/>
      <c r="CB1128" s="1"/>
      <c r="CC1128" s="1"/>
      <c r="CD1128" s="1"/>
      <c r="CE1128" s="1"/>
      <c r="CF1128" s="1"/>
    </row>
    <row r="1129" spans="1:84" s="3" customFormat="1" x14ac:dyDescent="0.2">
      <c r="A1129" s="17" t="s">
        <v>3921</v>
      </c>
      <c r="B1129" s="17" t="s">
        <v>45</v>
      </c>
      <c r="C1129" s="17">
        <v>2025</v>
      </c>
      <c r="D1129" s="17" t="str">
        <f t="array" ref="D1129">_xlfn.SWITCH(E1129,"Bagor","35.18.14","Sukomoro",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9" s="94" t="s">
        <v>92</v>
      </c>
      <c r="F1129" s="93" t="s">
        <v>1188</v>
      </c>
      <c r="G1129" s="93" t="s">
        <v>258</v>
      </c>
      <c r="H1129" s="16" t="s">
        <v>31</v>
      </c>
      <c r="I1129" s="94">
        <v>2</v>
      </c>
      <c r="J1129" s="94">
        <v>4</v>
      </c>
      <c r="K1129" s="94">
        <f t="shared" si="21"/>
        <v>6</v>
      </c>
      <c r="L1129" s="95">
        <v>15000000</v>
      </c>
      <c r="M1129" s="96" t="s">
        <v>258</v>
      </c>
      <c r="N1129" s="95">
        <v>5000</v>
      </c>
      <c r="O1129" s="94" t="s">
        <v>1803</v>
      </c>
      <c r="P1129" s="97">
        <v>23300000</v>
      </c>
      <c r="Q1129" s="96" t="s">
        <v>1958</v>
      </c>
      <c r="R1129" s="95">
        <v>30000</v>
      </c>
      <c r="S1129" s="94" t="s">
        <v>422</v>
      </c>
      <c r="T1129" s="97">
        <f>P1129/2</f>
        <v>11650000</v>
      </c>
      <c r="U1129" s="94" t="s">
        <v>22</v>
      </c>
      <c r="V1129" s="94"/>
      <c r="W1129" s="94"/>
      <c r="X1129" s="94"/>
      <c r="Y1129" s="94">
        <v>80</v>
      </c>
      <c r="Z1129" s="94">
        <v>20</v>
      </c>
      <c r="AA1129" s="94">
        <v>0</v>
      </c>
      <c r="AB1129" s="94">
        <v>0</v>
      </c>
      <c r="AC1129" s="94"/>
      <c r="AE1129" s="1"/>
      <c r="AF1129" s="2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  <c r="AZ1129" s="1"/>
      <c r="BA1129" s="1"/>
      <c r="BB1129" s="1"/>
      <c r="BC1129" s="1"/>
      <c r="BD1129" s="1"/>
      <c r="BE1129" s="1"/>
      <c r="BF1129" s="1"/>
      <c r="BG1129" s="1"/>
      <c r="BH1129" s="1"/>
      <c r="BI1129" s="1"/>
      <c r="BJ1129" s="1"/>
      <c r="BK1129" s="1"/>
      <c r="BL1129" s="1"/>
      <c r="BM1129" s="1"/>
      <c r="BN1129" s="1"/>
      <c r="BO1129" s="1"/>
      <c r="BP1129" s="1"/>
      <c r="BQ1129" s="1"/>
      <c r="BR1129" s="1"/>
      <c r="BS1129" s="1"/>
      <c r="BT1129" s="1"/>
      <c r="BU1129" s="1"/>
      <c r="BV1129" s="1"/>
      <c r="BW1129" s="1"/>
      <c r="BX1129" s="1"/>
      <c r="BY1129" s="1"/>
      <c r="BZ1129" s="1"/>
      <c r="CA1129" s="1"/>
      <c r="CB1129" s="1"/>
      <c r="CC1129" s="1"/>
      <c r="CD1129" s="1"/>
      <c r="CE1129" s="1"/>
      <c r="CF1129" s="1"/>
    </row>
    <row r="1130" spans="1:84" s="3" customFormat="1" x14ac:dyDescent="0.2">
      <c r="A1130" s="17" t="s">
        <v>3921</v>
      </c>
      <c r="B1130" s="17" t="s">
        <v>45</v>
      </c>
      <c r="C1130" s="17">
        <v>2025</v>
      </c>
      <c r="D1130" s="17" t="str">
        <f t="array" ref="D1130">_xlfn.SWITCH(E1130,"Bagor","35.18.14","Sukomoro",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30" s="94" t="s">
        <v>92</v>
      </c>
      <c r="F1130" s="93" t="s">
        <v>1188</v>
      </c>
      <c r="G1130" s="93" t="s">
        <v>258</v>
      </c>
      <c r="H1130" s="16" t="s">
        <v>31</v>
      </c>
      <c r="I1130" s="94">
        <v>2</v>
      </c>
      <c r="J1130" s="94">
        <v>3</v>
      </c>
      <c r="K1130" s="94">
        <f t="shared" si="21"/>
        <v>5</v>
      </c>
      <c r="L1130" s="95">
        <v>20000000</v>
      </c>
      <c r="M1130" s="96" t="s">
        <v>258</v>
      </c>
      <c r="N1130" s="95">
        <v>7000</v>
      </c>
      <c r="O1130" s="94" t="s">
        <v>1803</v>
      </c>
      <c r="P1130" s="97">
        <v>125000000</v>
      </c>
      <c r="Q1130" s="96" t="s">
        <v>1958</v>
      </c>
      <c r="R1130" s="95">
        <v>120000</v>
      </c>
      <c r="S1130" s="94" t="s">
        <v>422</v>
      </c>
      <c r="T1130" s="97">
        <f>P1130/2</f>
        <v>62500000</v>
      </c>
      <c r="U1130" s="94" t="s">
        <v>22</v>
      </c>
      <c r="V1130" s="94"/>
      <c r="W1130" s="94"/>
      <c r="X1130" s="94"/>
      <c r="Y1130" s="94">
        <v>75</v>
      </c>
      <c r="Z1130" s="94">
        <v>25</v>
      </c>
      <c r="AA1130" s="94">
        <v>0</v>
      </c>
      <c r="AB1130" s="94">
        <v>0</v>
      </c>
      <c r="AC1130" s="94"/>
      <c r="AE1130" s="1"/>
      <c r="AF1130" s="2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  <c r="AZ1130" s="1"/>
      <c r="BA1130" s="1"/>
      <c r="BB1130" s="1"/>
      <c r="BC1130" s="1"/>
      <c r="BD1130" s="1"/>
      <c r="BE1130" s="1"/>
      <c r="BF1130" s="1"/>
      <c r="BG1130" s="1"/>
      <c r="BH1130" s="1"/>
      <c r="BI1130" s="1"/>
      <c r="BJ1130" s="1"/>
      <c r="BK1130" s="1"/>
      <c r="BL1130" s="1"/>
      <c r="BM1130" s="1"/>
      <c r="BN1130" s="1"/>
      <c r="BO1130" s="1"/>
      <c r="BP1130" s="1"/>
      <c r="BQ1130" s="1"/>
      <c r="BR1130" s="1"/>
      <c r="BS1130" s="1"/>
      <c r="BT1130" s="1"/>
      <c r="BU1130" s="1"/>
      <c r="BV1130" s="1"/>
      <c r="BW1130" s="1"/>
      <c r="BX1130" s="1"/>
      <c r="BY1130" s="1"/>
      <c r="BZ1130" s="1"/>
      <c r="CA1130" s="1"/>
      <c r="CB1130" s="1"/>
      <c r="CC1130" s="1"/>
      <c r="CD1130" s="1"/>
      <c r="CE1130" s="1"/>
      <c r="CF1130" s="1"/>
    </row>
    <row r="1131" spans="1:84" s="3" customFormat="1" x14ac:dyDescent="0.2">
      <c r="A1131" s="17" t="s">
        <v>3921</v>
      </c>
      <c r="B1131" s="17" t="s">
        <v>45</v>
      </c>
      <c r="C1131" s="17">
        <v>2025</v>
      </c>
      <c r="D1131" s="17" t="str">
        <f t="array" ref="D1131">_xlfn.SWITCH(E1131,"Bagor","35.18.14","Sukomoro",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31" s="94" t="s">
        <v>92</v>
      </c>
      <c r="F1131" s="93" t="s">
        <v>1188</v>
      </c>
      <c r="G1131" s="93" t="s">
        <v>172</v>
      </c>
      <c r="H1131" s="16" t="s">
        <v>31</v>
      </c>
      <c r="I1131" s="94">
        <v>7</v>
      </c>
      <c r="J1131" s="94">
        <v>0</v>
      </c>
      <c r="K1131" s="94">
        <f t="shared" si="21"/>
        <v>7</v>
      </c>
      <c r="L1131" s="95">
        <v>10000000</v>
      </c>
      <c r="M1131" s="96" t="s">
        <v>172</v>
      </c>
      <c r="N1131" s="95">
        <v>20000</v>
      </c>
      <c r="O1131" s="94" t="s">
        <v>1130</v>
      </c>
      <c r="P1131" s="97">
        <v>23000000</v>
      </c>
      <c r="Q1131" s="96" t="s">
        <v>1642</v>
      </c>
      <c r="R1131" s="98">
        <f>10*30*12</f>
        <v>3600</v>
      </c>
      <c r="S1131" s="94" t="s">
        <v>422</v>
      </c>
      <c r="T1131" s="97">
        <f>P1131/2</f>
        <v>11500000</v>
      </c>
      <c r="U1131" s="94" t="s">
        <v>22</v>
      </c>
      <c r="V1131" s="94"/>
      <c r="W1131" s="94"/>
      <c r="X1131" s="94"/>
      <c r="Y1131" s="94">
        <v>100</v>
      </c>
      <c r="Z1131" s="16">
        <v>0</v>
      </c>
      <c r="AA1131" s="16">
        <v>0</v>
      </c>
      <c r="AB1131" s="16">
        <v>0</v>
      </c>
      <c r="AC1131" s="94"/>
      <c r="AE1131" s="1"/>
      <c r="AF1131" s="2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  <c r="AZ1131" s="1"/>
      <c r="BA1131" s="1"/>
      <c r="BB1131" s="1"/>
      <c r="BC1131" s="1"/>
      <c r="BD1131" s="1"/>
      <c r="BE1131" s="1"/>
      <c r="BF1131" s="1"/>
      <c r="BG1131" s="1"/>
      <c r="BH1131" s="1"/>
      <c r="BI1131" s="1"/>
      <c r="BJ1131" s="1"/>
      <c r="BK1131" s="1"/>
      <c r="BL1131" s="1"/>
      <c r="BM1131" s="1"/>
      <c r="BN1131" s="1"/>
      <c r="BO1131" s="1"/>
      <c r="BP1131" s="1"/>
      <c r="BQ1131" s="1"/>
      <c r="BR1131" s="1"/>
      <c r="BS1131" s="1"/>
      <c r="BT1131" s="1"/>
      <c r="BU1131" s="1"/>
      <c r="BV1131" s="1"/>
      <c r="BW1131" s="1"/>
      <c r="BX1131" s="1"/>
      <c r="BY1131" s="1"/>
      <c r="BZ1131" s="1"/>
      <c r="CA1131" s="1"/>
      <c r="CB1131" s="1"/>
      <c r="CC1131" s="1"/>
      <c r="CD1131" s="1"/>
      <c r="CE1131" s="1"/>
      <c r="CF1131" s="1"/>
    </row>
    <row r="1132" spans="1:84" s="3" customFormat="1" x14ac:dyDescent="0.2">
      <c r="A1132" s="17" t="s">
        <v>3921</v>
      </c>
      <c r="B1132" s="17" t="s">
        <v>45</v>
      </c>
      <c r="C1132" s="17">
        <v>2025</v>
      </c>
      <c r="D1132" s="17" t="str">
        <f t="array" ref="D1132">_xlfn.SWITCH(E1132,"Bagor","35.18.14","Sukomoro",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32" s="94" t="s">
        <v>92</v>
      </c>
      <c r="F1132" s="93" t="s">
        <v>1188</v>
      </c>
      <c r="G1132" s="93" t="s">
        <v>172</v>
      </c>
      <c r="H1132" s="16" t="s">
        <v>31</v>
      </c>
      <c r="I1132" s="94">
        <v>8</v>
      </c>
      <c r="J1132" s="94">
        <v>1</v>
      </c>
      <c r="K1132" s="94">
        <f t="shared" si="21"/>
        <v>9</v>
      </c>
      <c r="L1132" s="95">
        <v>5000000</v>
      </c>
      <c r="M1132" s="96" t="s">
        <v>172</v>
      </c>
      <c r="N1132" s="95">
        <v>45000</v>
      </c>
      <c r="O1132" s="94" t="s">
        <v>1130</v>
      </c>
      <c r="P1132" s="97">
        <v>34500000</v>
      </c>
      <c r="Q1132" s="96" t="s">
        <v>1642</v>
      </c>
      <c r="R1132" s="98">
        <f>12*30*12</f>
        <v>4320</v>
      </c>
      <c r="S1132" s="94" t="s">
        <v>422</v>
      </c>
      <c r="T1132" s="97">
        <f>P1132/2</f>
        <v>17250000</v>
      </c>
      <c r="U1132" s="94" t="s">
        <v>22</v>
      </c>
      <c r="V1132" s="94"/>
      <c r="W1132" s="94"/>
      <c r="X1132" s="94"/>
      <c r="Y1132" s="94">
        <v>100</v>
      </c>
      <c r="Z1132" s="16">
        <v>0</v>
      </c>
      <c r="AA1132" s="16">
        <v>0</v>
      </c>
      <c r="AB1132" s="16">
        <v>0</v>
      </c>
      <c r="AC1132" s="94"/>
      <c r="AE1132" s="1"/>
      <c r="AF1132" s="2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  <c r="AT1132" s="1"/>
      <c r="AU1132" s="1"/>
      <c r="AV1132" s="1"/>
      <c r="AW1132" s="1"/>
      <c r="AX1132" s="1"/>
      <c r="AY1132" s="1"/>
      <c r="AZ1132" s="1"/>
      <c r="BA1132" s="1"/>
      <c r="BB1132" s="1"/>
      <c r="BC1132" s="1"/>
      <c r="BD1132" s="1"/>
      <c r="BE1132" s="1"/>
      <c r="BF1132" s="1"/>
      <c r="BG1132" s="1"/>
      <c r="BH1132" s="1"/>
      <c r="BI1132" s="1"/>
      <c r="BJ1132" s="1"/>
      <c r="BK1132" s="1"/>
      <c r="BL1132" s="1"/>
      <c r="BM1132" s="1"/>
      <c r="BN1132" s="1"/>
      <c r="BO1132" s="1"/>
      <c r="BP1132" s="1"/>
      <c r="BQ1132" s="1"/>
      <c r="BR1132" s="1"/>
      <c r="BS1132" s="1"/>
      <c r="BT1132" s="1"/>
      <c r="BU1132" s="1"/>
      <c r="BV1132" s="1"/>
      <c r="BW1132" s="1"/>
      <c r="BX1132" s="1"/>
      <c r="BY1132" s="1"/>
      <c r="BZ1132" s="1"/>
      <c r="CA1132" s="1"/>
      <c r="CB1132" s="1"/>
      <c r="CC1132" s="1"/>
      <c r="CD1132" s="1"/>
      <c r="CE1132" s="1"/>
      <c r="CF1132" s="1"/>
    </row>
    <row r="1133" spans="1:84" s="3" customFormat="1" x14ac:dyDescent="0.2">
      <c r="A1133" s="17" t="s">
        <v>3921</v>
      </c>
      <c r="B1133" s="17" t="s">
        <v>45</v>
      </c>
      <c r="C1133" s="17">
        <v>2025</v>
      </c>
      <c r="D1133" s="17" t="str">
        <f t="array" ref="D1133">_xlfn.SWITCH(E1133,"Jatikalen","35.18.20","Kertosono", "35.18.08","Lengkong","35.18.19","Loceret","35.18.04","Tanjunganom","35.18.11","Wilangan","35.18.15")</f>
        <v>35.18.11</v>
      </c>
      <c r="E1133" s="94" t="s">
        <v>60</v>
      </c>
      <c r="F1133" s="93" t="s">
        <v>2555</v>
      </c>
      <c r="G1133" s="93" t="s">
        <v>2556</v>
      </c>
      <c r="H1133" s="16" t="s">
        <v>31</v>
      </c>
      <c r="I1133" s="94">
        <v>2</v>
      </c>
      <c r="J1133" s="94">
        <v>0</v>
      </c>
      <c r="K1133" s="94">
        <f t="shared" si="21"/>
        <v>2</v>
      </c>
      <c r="L1133" s="95">
        <v>4000000</v>
      </c>
      <c r="M1133" s="96" t="s">
        <v>2446</v>
      </c>
      <c r="N1133" s="95">
        <v>750</v>
      </c>
      <c r="O1133" s="94" t="s">
        <v>1130</v>
      </c>
      <c r="P1133" s="97">
        <f>N1133*50000</f>
        <v>37500000</v>
      </c>
      <c r="Q1133" s="96" t="s">
        <v>2447</v>
      </c>
      <c r="R1133" s="95">
        <v>500</v>
      </c>
      <c r="S1133" s="94" t="s">
        <v>2448</v>
      </c>
      <c r="T1133" s="97">
        <f>R1133*5000</f>
        <v>2500000</v>
      </c>
      <c r="U1133" s="94" t="s">
        <v>22</v>
      </c>
      <c r="V1133" s="94"/>
      <c r="W1133" s="94"/>
      <c r="X1133" s="94"/>
      <c r="Y1133" s="94">
        <v>100</v>
      </c>
      <c r="Z1133" s="94">
        <v>0</v>
      </c>
      <c r="AA1133" s="94">
        <v>0</v>
      </c>
      <c r="AB1133" s="94">
        <v>0</v>
      </c>
      <c r="AC1133" s="94"/>
      <c r="AE1133" s="1"/>
      <c r="AF1133" s="2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  <c r="AU1133" s="1"/>
      <c r="AV1133" s="1"/>
      <c r="AW1133" s="1"/>
      <c r="AX1133" s="1"/>
      <c r="AY1133" s="1"/>
      <c r="AZ1133" s="1"/>
      <c r="BA1133" s="1"/>
      <c r="BB1133" s="1"/>
      <c r="BC1133" s="1"/>
      <c r="BD1133" s="1"/>
      <c r="BE1133" s="1"/>
      <c r="BF1133" s="1"/>
      <c r="BG1133" s="1"/>
      <c r="BH1133" s="1"/>
      <c r="BI1133" s="1"/>
      <c r="BJ1133" s="1"/>
      <c r="BK1133" s="1"/>
      <c r="BL1133" s="1"/>
      <c r="BM1133" s="1"/>
      <c r="BN1133" s="1"/>
      <c r="BO1133" s="1"/>
      <c r="BP1133" s="1"/>
      <c r="BQ1133" s="1"/>
      <c r="BR1133" s="1"/>
      <c r="BS1133" s="1"/>
      <c r="BT1133" s="1"/>
      <c r="BU1133" s="1"/>
      <c r="BV1133" s="1"/>
      <c r="BW1133" s="1"/>
      <c r="BX1133" s="1"/>
      <c r="BY1133" s="1"/>
      <c r="BZ1133" s="1"/>
      <c r="CA1133" s="1"/>
      <c r="CB1133" s="1"/>
      <c r="CC1133" s="1"/>
      <c r="CD1133" s="1"/>
      <c r="CE1133" s="1"/>
      <c r="CF1133" s="1"/>
    </row>
    <row r="1134" spans="1:84" s="3" customFormat="1" x14ac:dyDescent="0.2">
      <c r="A1134" s="17" t="s">
        <v>3921</v>
      </c>
      <c r="B1134" s="17" t="s">
        <v>45</v>
      </c>
      <c r="C1134" s="17">
        <v>2025</v>
      </c>
      <c r="D1134" s="17" t="str">
        <f t="array" ref="D1134">_xlfn.SWITCH(E1134,"Jatikalen","35.18.20","Kertosono", "35.18.08","Lengkong","35.18.19","Loceret","35.18.04","Tanjunganom","35.18.11","Wilangan","35.18.15")</f>
        <v>35.18.11</v>
      </c>
      <c r="E1134" s="94" t="s">
        <v>60</v>
      </c>
      <c r="F1134" s="93" t="s">
        <v>2555</v>
      </c>
      <c r="G1134" s="93" t="s">
        <v>2556</v>
      </c>
      <c r="H1134" s="16" t="s">
        <v>31</v>
      </c>
      <c r="I1134" s="94">
        <v>1</v>
      </c>
      <c r="J1134" s="94">
        <v>0</v>
      </c>
      <c r="K1134" s="94">
        <f t="shared" si="21"/>
        <v>1</v>
      </c>
      <c r="L1134" s="95">
        <v>2500000</v>
      </c>
      <c r="M1134" s="96" t="s">
        <v>2446</v>
      </c>
      <c r="N1134" s="95">
        <v>800</v>
      </c>
      <c r="O1134" s="94" t="s">
        <v>1130</v>
      </c>
      <c r="P1134" s="97">
        <f>N1134*50000</f>
        <v>40000000</v>
      </c>
      <c r="Q1134" s="96" t="s">
        <v>2447</v>
      </c>
      <c r="R1134" s="95">
        <v>900</v>
      </c>
      <c r="S1134" s="94" t="s">
        <v>2448</v>
      </c>
      <c r="T1134" s="97">
        <f>R1134*5000</f>
        <v>4500000</v>
      </c>
      <c r="U1134" s="94" t="s">
        <v>22</v>
      </c>
      <c r="V1134" s="94"/>
      <c r="W1134" s="94"/>
      <c r="X1134" s="94"/>
      <c r="Y1134" s="94">
        <v>100</v>
      </c>
      <c r="Z1134" s="94">
        <v>0</v>
      </c>
      <c r="AA1134" s="94">
        <v>0</v>
      </c>
      <c r="AB1134" s="94">
        <v>0</v>
      </c>
      <c r="AC1134" s="94"/>
      <c r="AE1134" s="1"/>
      <c r="AF1134" s="2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  <c r="AU1134" s="1"/>
      <c r="AV1134" s="1"/>
      <c r="AW1134" s="1"/>
      <c r="AX1134" s="1"/>
      <c r="AY1134" s="1"/>
      <c r="AZ1134" s="1"/>
      <c r="BA1134" s="1"/>
      <c r="BB1134" s="1"/>
      <c r="BC1134" s="1"/>
      <c r="BD1134" s="1"/>
      <c r="BE1134" s="1"/>
      <c r="BF1134" s="1"/>
      <c r="BG1134" s="1"/>
      <c r="BH1134" s="1"/>
      <c r="BI1134" s="1"/>
      <c r="BJ1134" s="1"/>
      <c r="BK1134" s="1"/>
      <c r="BL1134" s="1"/>
      <c r="BM1134" s="1"/>
      <c r="BN1134" s="1"/>
      <c r="BO1134" s="1"/>
      <c r="BP1134" s="1"/>
      <c r="BQ1134" s="1"/>
      <c r="BR1134" s="1"/>
      <c r="BS1134" s="1"/>
      <c r="BT1134" s="1"/>
      <c r="BU1134" s="1"/>
      <c r="BV1134" s="1"/>
      <c r="BW1134" s="1"/>
      <c r="BX1134" s="1"/>
      <c r="BY1134" s="1"/>
      <c r="BZ1134" s="1"/>
      <c r="CA1134" s="1"/>
      <c r="CB1134" s="1"/>
      <c r="CC1134" s="1"/>
      <c r="CD1134" s="1"/>
      <c r="CE1134" s="1"/>
      <c r="CF1134" s="1"/>
    </row>
    <row r="1135" spans="1:84" s="3" customFormat="1" x14ac:dyDescent="0.2">
      <c r="A1135" s="17" t="s">
        <v>3921</v>
      </c>
      <c r="B1135" s="17" t="s">
        <v>45</v>
      </c>
      <c r="C1135" s="17">
        <v>2025</v>
      </c>
      <c r="D1135" s="17" t="str">
        <f t="array" ref="D1135">_xlfn.SWITCH(E1135,"Jatikalen","35.18.20","Kertosono", "35.18.08","Lengkong","35.18.19","Loceret","35.18.04","Tanjunganom","35.18.11","Wilangan","35.18.15")</f>
        <v>35.18.11</v>
      </c>
      <c r="E1135" s="94" t="s">
        <v>60</v>
      </c>
      <c r="F1135" s="93" t="s">
        <v>2555</v>
      </c>
      <c r="G1135" s="93" t="s">
        <v>2556</v>
      </c>
      <c r="H1135" s="16" t="s">
        <v>31</v>
      </c>
      <c r="I1135" s="94">
        <v>2</v>
      </c>
      <c r="J1135" s="94">
        <v>0</v>
      </c>
      <c r="K1135" s="94">
        <f t="shared" si="21"/>
        <v>2</v>
      </c>
      <c r="L1135" s="95">
        <v>5000000</v>
      </c>
      <c r="M1135" s="96" t="s">
        <v>2446</v>
      </c>
      <c r="N1135" s="95">
        <v>2000</v>
      </c>
      <c r="O1135" s="94" t="s">
        <v>1130</v>
      </c>
      <c r="P1135" s="97">
        <f>N1135*50000</f>
        <v>100000000</v>
      </c>
      <c r="Q1135" s="96" t="s">
        <v>2447</v>
      </c>
      <c r="R1135" s="95">
        <v>1000</v>
      </c>
      <c r="S1135" s="94" t="s">
        <v>2448</v>
      </c>
      <c r="T1135" s="97">
        <f>R1135*5000</f>
        <v>5000000</v>
      </c>
      <c r="U1135" s="94" t="s">
        <v>22</v>
      </c>
      <c r="V1135" s="94"/>
      <c r="W1135" s="94"/>
      <c r="X1135" s="94"/>
      <c r="Y1135" s="94">
        <v>100</v>
      </c>
      <c r="Z1135" s="94">
        <v>0</v>
      </c>
      <c r="AA1135" s="94">
        <v>0</v>
      </c>
      <c r="AB1135" s="94">
        <v>0</v>
      </c>
      <c r="AC1135" s="94"/>
      <c r="AE1135" s="1"/>
      <c r="AF1135" s="2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  <c r="AZ1135" s="1"/>
      <c r="BA1135" s="1"/>
      <c r="BB1135" s="1"/>
      <c r="BC1135" s="1"/>
      <c r="BD1135" s="1"/>
      <c r="BE1135" s="1"/>
      <c r="BF1135" s="1"/>
      <c r="BG1135" s="1"/>
      <c r="BH1135" s="1"/>
      <c r="BI1135" s="1"/>
      <c r="BJ1135" s="1"/>
      <c r="BK1135" s="1"/>
      <c r="BL1135" s="1"/>
      <c r="BM1135" s="1"/>
      <c r="BN1135" s="1"/>
      <c r="BO1135" s="1"/>
      <c r="BP1135" s="1"/>
      <c r="BQ1135" s="1"/>
      <c r="BR1135" s="1"/>
      <c r="BS1135" s="1"/>
      <c r="BT1135" s="1"/>
      <c r="BU1135" s="1"/>
      <c r="BV1135" s="1"/>
      <c r="BW1135" s="1"/>
      <c r="BX1135" s="1"/>
      <c r="BY1135" s="1"/>
      <c r="BZ1135" s="1"/>
      <c r="CA1135" s="1"/>
      <c r="CB1135" s="1"/>
      <c r="CC1135" s="1"/>
      <c r="CD1135" s="1"/>
      <c r="CE1135" s="1"/>
      <c r="CF1135" s="1"/>
    </row>
    <row r="1136" spans="1:84" s="3" customFormat="1" x14ac:dyDescent="0.2">
      <c r="A1136" s="17" t="s">
        <v>3921</v>
      </c>
      <c r="B1136" s="17" t="s">
        <v>45</v>
      </c>
      <c r="C1136" s="17">
        <v>2025</v>
      </c>
      <c r="D1136" s="17" t="str">
        <f t="array" ref="D1136">_xlfn.SWITCH(E1136,"Jatikalen","35.18.20","Kertosono", "35.18.08","Lengkong","35.18.19","Loceret","35.18.04","Tanjunganom","35.18.11","Wilangan","35.18.15")</f>
        <v>35.18.11</v>
      </c>
      <c r="E1136" s="94" t="s">
        <v>60</v>
      </c>
      <c r="F1136" s="93" t="s">
        <v>2555</v>
      </c>
      <c r="G1136" s="93" t="s">
        <v>2556</v>
      </c>
      <c r="H1136" s="16" t="s">
        <v>31</v>
      </c>
      <c r="I1136" s="94">
        <v>1</v>
      </c>
      <c r="J1136" s="94">
        <v>1</v>
      </c>
      <c r="K1136" s="94">
        <f t="shared" si="21"/>
        <v>2</v>
      </c>
      <c r="L1136" s="95">
        <v>5000000</v>
      </c>
      <c r="M1136" s="96" t="s">
        <v>2446</v>
      </c>
      <c r="N1136" s="95">
        <v>1200</v>
      </c>
      <c r="O1136" s="94" t="s">
        <v>1130</v>
      </c>
      <c r="P1136" s="97">
        <f>N1136*50000</f>
        <v>60000000</v>
      </c>
      <c r="Q1136" s="96" t="s">
        <v>2447</v>
      </c>
      <c r="R1136" s="95">
        <v>800</v>
      </c>
      <c r="S1136" s="94" t="s">
        <v>2448</v>
      </c>
      <c r="T1136" s="97">
        <f>R1136*5000</f>
        <v>4000000</v>
      </c>
      <c r="U1136" s="94" t="s">
        <v>22</v>
      </c>
      <c r="V1136" s="94"/>
      <c r="W1136" s="94"/>
      <c r="X1136" s="94"/>
      <c r="Y1136" s="94">
        <v>100</v>
      </c>
      <c r="Z1136" s="94">
        <v>0</v>
      </c>
      <c r="AA1136" s="94">
        <v>0</v>
      </c>
      <c r="AB1136" s="94">
        <v>0</v>
      </c>
      <c r="AC1136" s="94"/>
      <c r="AE1136" s="1"/>
      <c r="AF1136" s="2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/>
      <c r="AW1136" s="1"/>
      <c r="AX1136" s="1"/>
      <c r="AY1136" s="1"/>
      <c r="AZ1136" s="1"/>
      <c r="BA1136" s="1"/>
      <c r="BB1136" s="1"/>
      <c r="BC1136" s="1"/>
      <c r="BD1136" s="1"/>
      <c r="BE1136" s="1"/>
      <c r="BF1136" s="1"/>
      <c r="BG1136" s="1"/>
      <c r="BH1136" s="1"/>
      <c r="BI1136" s="1"/>
      <c r="BJ1136" s="1"/>
      <c r="BK1136" s="1"/>
      <c r="BL1136" s="1"/>
      <c r="BM1136" s="1"/>
      <c r="BN1136" s="1"/>
      <c r="BO1136" s="1"/>
      <c r="BP1136" s="1"/>
      <c r="BQ1136" s="1"/>
      <c r="BR1136" s="1"/>
      <c r="BS1136" s="1"/>
      <c r="BT1136" s="1"/>
      <c r="BU1136" s="1"/>
      <c r="BV1136" s="1"/>
      <c r="BW1136" s="1"/>
      <c r="BX1136" s="1"/>
      <c r="BY1136" s="1"/>
      <c r="BZ1136" s="1"/>
      <c r="CA1136" s="1"/>
      <c r="CB1136" s="1"/>
      <c r="CC1136" s="1"/>
      <c r="CD1136" s="1"/>
      <c r="CE1136" s="1"/>
      <c r="CF1136" s="1"/>
    </row>
    <row r="1137" spans="1:84" s="3" customFormat="1" x14ac:dyDescent="0.2">
      <c r="A1137" s="17" t="s">
        <v>3921</v>
      </c>
      <c r="B1137" s="17" t="s">
        <v>45</v>
      </c>
      <c r="C1137" s="17">
        <v>2025</v>
      </c>
      <c r="D1137" s="17" t="str">
        <f t="array" ref="D1137">_xlfn.SWITCH(E1137,"Jatikalen","35.18.20","Kertosono", "35.18.08","Lengkong","35.18.19","Loceret","35.18.04","Tanjunganom","35.18.11","Wilangan","35.18.15")</f>
        <v>35.18.11</v>
      </c>
      <c r="E1137" s="94" t="s">
        <v>60</v>
      </c>
      <c r="F1137" s="93" t="s">
        <v>2555</v>
      </c>
      <c r="G1137" s="93" t="s">
        <v>2556</v>
      </c>
      <c r="H1137" s="16" t="s">
        <v>31</v>
      </c>
      <c r="I1137" s="94">
        <v>1</v>
      </c>
      <c r="J1137" s="94">
        <v>1</v>
      </c>
      <c r="K1137" s="94">
        <f t="shared" si="21"/>
        <v>2</v>
      </c>
      <c r="L1137" s="95">
        <v>3000000</v>
      </c>
      <c r="M1137" s="96" t="s">
        <v>2446</v>
      </c>
      <c r="N1137" s="95">
        <v>950</v>
      </c>
      <c r="O1137" s="94" t="s">
        <v>1130</v>
      </c>
      <c r="P1137" s="97">
        <f>N1137*50000</f>
        <v>47500000</v>
      </c>
      <c r="Q1137" s="96" t="s">
        <v>2447</v>
      </c>
      <c r="R1137" s="95">
        <v>550</v>
      </c>
      <c r="S1137" s="94" t="s">
        <v>2448</v>
      </c>
      <c r="T1137" s="97">
        <f>R1137*5000</f>
        <v>2750000</v>
      </c>
      <c r="U1137" s="94" t="s">
        <v>22</v>
      </c>
      <c r="V1137" s="94"/>
      <c r="W1137" s="94"/>
      <c r="X1137" s="94"/>
      <c r="Y1137" s="94">
        <v>100</v>
      </c>
      <c r="Z1137" s="94">
        <v>0</v>
      </c>
      <c r="AA1137" s="94">
        <v>0</v>
      </c>
      <c r="AB1137" s="94">
        <v>0</v>
      </c>
      <c r="AC1137" s="94"/>
      <c r="AE1137" s="1"/>
      <c r="AF1137" s="2"/>
      <c r="AG1137" s="1"/>
      <c r="AH1137" s="1"/>
      <c r="AI1137" s="1"/>
      <c r="AJ1137" s="1"/>
      <c r="AK1137" s="1"/>
      <c r="AL1137" s="1"/>
      <c r="AM1137" s="1"/>
      <c r="AN1137" s="1"/>
      <c r="AO1137" s="1"/>
      <c r="AP1137" s="1"/>
      <c r="AQ1137" s="1"/>
      <c r="AR1137" s="1"/>
      <c r="AS1137" s="1"/>
      <c r="AT1137" s="1"/>
      <c r="AU1137" s="1"/>
      <c r="AV1137" s="1"/>
      <c r="AW1137" s="1"/>
      <c r="AX1137" s="1"/>
      <c r="AY1137" s="1"/>
      <c r="AZ1137" s="1"/>
      <c r="BA1137" s="1"/>
      <c r="BB1137" s="1"/>
      <c r="BC1137" s="1"/>
      <c r="BD1137" s="1"/>
      <c r="BE1137" s="1"/>
      <c r="BF1137" s="1"/>
      <c r="BG1137" s="1"/>
      <c r="BH1137" s="1"/>
      <c r="BI1137" s="1"/>
      <c r="BJ1137" s="1"/>
      <c r="BK1137" s="1"/>
      <c r="BL1137" s="1"/>
      <c r="BM1137" s="1"/>
      <c r="BN1137" s="1"/>
      <c r="BO1137" s="1"/>
      <c r="BP1137" s="1"/>
      <c r="BQ1137" s="1"/>
      <c r="BR1137" s="1"/>
      <c r="BS1137" s="1"/>
      <c r="BT1137" s="1"/>
      <c r="BU1137" s="1"/>
      <c r="BV1137" s="1"/>
      <c r="BW1137" s="1"/>
      <c r="BX1137" s="1"/>
      <c r="BY1137" s="1"/>
      <c r="BZ1137" s="1"/>
      <c r="CA1137" s="1"/>
      <c r="CB1137" s="1"/>
      <c r="CC1137" s="1"/>
      <c r="CD1137" s="1"/>
      <c r="CE1137" s="1"/>
      <c r="CF1137" s="1"/>
    </row>
    <row r="1138" spans="1:84" s="3" customFormat="1" x14ac:dyDescent="0.2">
      <c r="A1138" s="17" t="s">
        <v>3921</v>
      </c>
      <c r="B1138" s="17" t="s">
        <v>45</v>
      </c>
      <c r="C1138" s="17">
        <v>2025</v>
      </c>
      <c r="D1138" s="17" t="str">
        <f t="array" ref="D1138">_xlfn.SWITCH(E1138,"Jatikalen","35.18.20","Kertosono", "35.18.08","Lengkong","35.18.19","Loceret","35.18.04","Tanjunganom","35.18.11","Wilangan","35.18.15")</f>
        <v>35.18.11</v>
      </c>
      <c r="E1138" s="94" t="s">
        <v>60</v>
      </c>
      <c r="F1138" s="93" t="s">
        <v>2555</v>
      </c>
      <c r="G1138" s="93" t="s">
        <v>2163</v>
      </c>
      <c r="H1138" s="16" t="s">
        <v>31</v>
      </c>
      <c r="I1138" s="94">
        <v>2</v>
      </c>
      <c r="J1138" s="94">
        <v>2</v>
      </c>
      <c r="K1138" s="94">
        <f t="shared" si="21"/>
        <v>4</v>
      </c>
      <c r="L1138" s="95">
        <v>2000000</v>
      </c>
      <c r="M1138" s="96" t="s">
        <v>2163</v>
      </c>
      <c r="N1138" s="95">
        <v>800</v>
      </c>
      <c r="O1138" s="94" t="s">
        <v>1398</v>
      </c>
      <c r="P1138" s="97">
        <f>N1138*15000</f>
        <v>12000000</v>
      </c>
      <c r="Q1138" s="96" t="s">
        <v>1946</v>
      </c>
      <c r="R1138" s="95">
        <v>235</v>
      </c>
      <c r="S1138" s="94" t="s">
        <v>1538</v>
      </c>
      <c r="T1138" s="97">
        <f>R1138*15000</f>
        <v>3525000</v>
      </c>
      <c r="U1138" s="94" t="s">
        <v>22</v>
      </c>
      <c r="V1138" s="94"/>
      <c r="W1138" s="94"/>
      <c r="X1138" s="94"/>
      <c r="Y1138" s="94">
        <v>100</v>
      </c>
      <c r="Z1138" s="94">
        <v>0</v>
      </c>
      <c r="AA1138" s="94">
        <v>0</v>
      </c>
      <c r="AB1138" s="94">
        <v>0</v>
      </c>
      <c r="AC1138" s="94"/>
      <c r="AE1138" s="1"/>
      <c r="AF1138" s="2"/>
      <c r="AG1138" s="1"/>
      <c r="AH1138" s="1"/>
      <c r="AI1138" s="1"/>
      <c r="AJ1138" s="1"/>
      <c r="AK1138" s="1"/>
      <c r="AL1138" s="1"/>
      <c r="AM1138" s="1"/>
      <c r="AN1138" s="1"/>
      <c r="AO1138" s="1"/>
      <c r="AP1138" s="1"/>
      <c r="AQ1138" s="1"/>
      <c r="AR1138" s="1"/>
      <c r="AS1138" s="1"/>
      <c r="AT1138" s="1"/>
      <c r="AU1138" s="1"/>
      <c r="AV1138" s="1"/>
      <c r="AW1138" s="1"/>
      <c r="AX1138" s="1"/>
      <c r="AY1138" s="1"/>
      <c r="AZ1138" s="1"/>
      <c r="BA1138" s="1"/>
      <c r="BB1138" s="1"/>
      <c r="BC1138" s="1"/>
      <c r="BD1138" s="1"/>
      <c r="BE1138" s="1"/>
      <c r="BF1138" s="1"/>
      <c r="BG1138" s="1"/>
      <c r="BH1138" s="1"/>
      <c r="BI1138" s="1"/>
      <c r="BJ1138" s="1"/>
      <c r="BK1138" s="1"/>
      <c r="BL1138" s="1"/>
      <c r="BM1138" s="1"/>
      <c r="BN1138" s="1"/>
      <c r="BO1138" s="1"/>
      <c r="BP1138" s="1"/>
      <c r="BQ1138" s="1"/>
      <c r="BR1138" s="1"/>
      <c r="BS1138" s="1"/>
      <c r="BT1138" s="1"/>
      <c r="BU1138" s="1"/>
      <c r="BV1138" s="1"/>
      <c r="BW1138" s="1"/>
      <c r="BX1138" s="1"/>
      <c r="BY1138" s="1"/>
      <c r="BZ1138" s="1"/>
      <c r="CA1138" s="1"/>
      <c r="CB1138" s="1"/>
      <c r="CC1138" s="1"/>
      <c r="CD1138" s="1"/>
      <c r="CE1138" s="1"/>
      <c r="CF1138" s="1"/>
    </row>
    <row r="1139" spans="1:84" s="3" customFormat="1" x14ac:dyDescent="0.2">
      <c r="A1139" s="17" t="s">
        <v>3921</v>
      </c>
      <c r="B1139" s="17" t="s">
        <v>45</v>
      </c>
      <c r="C1139" s="17">
        <v>2025</v>
      </c>
      <c r="D1139" s="17" t="str">
        <f t="array" ref="D1139">_xlfn.SWITCH(E1139,"Jatikalen","35.18.20","Kertosono", "35.18.08","Lengkong","35.18.19","Loceret","35.18.04","Tanjunganom","35.18.11","Wilangan","35.18.15")</f>
        <v>35.18.11</v>
      </c>
      <c r="E1139" s="94" t="s">
        <v>60</v>
      </c>
      <c r="F1139" s="93" t="s">
        <v>2555</v>
      </c>
      <c r="G1139" s="93" t="s">
        <v>2163</v>
      </c>
      <c r="H1139" s="16" t="s">
        <v>31</v>
      </c>
      <c r="I1139" s="94">
        <v>2</v>
      </c>
      <c r="J1139" s="94">
        <v>2</v>
      </c>
      <c r="K1139" s="94">
        <f t="shared" si="21"/>
        <v>4</v>
      </c>
      <c r="L1139" s="95">
        <v>5000000</v>
      </c>
      <c r="M1139" s="96" t="s">
        <v>2163</v>
      </c>
      <c r="N1139" s="95">
        <v>1500</v>
      </c>
      <c r="O1139" s="94" t="s">
        <v>1398</v>
      </c>
      <c r="P1139" s="97">
        <f>N1139*15000</f>
        <v>22500000</v>
      </c>
      <c r="Q1139" s="96" t="s">
        <v>1946</v>
      </c>
      <c r="R1139" s="95">
        <v>310</v>
      </c>
      <c r="S1139" s="94" t="s">
        <v>1538</v>
      </c>
      <c r="T1139" s="97">
        <f>R1139*15000</f>
        <v>4650000</v>
      </c>
      <c r="U1139" s="94" t="s">
        <v>22</v>
      </c>
      <c r="V1139" s="94"/>
      <c r="W1139" s="94"/>
      <c r="X1139" s="94"/>
      <c r="Y1139" s="94">
        <v>100</v>
      </c>
      <c r="Z1139" s="94">
        <v>0</v>
      </c>
      <c r="AA1139" s="94">
        <v>0</v>
      </c>
      <c r="AB1139" s="94">
        <v>0</v>
      </c>
      <c r="AC1139" s="94"/>
      <c r="AE1139" s="1"/>
      <c r="AF1139" s="2"/>
      <c r="AG1139" s="1"/>
      <c r="AH1139" s="1"/>
      <c r="AI1139" s="1"/>
      <c r="AJ1139" s="1"/>
      <c r="AK1139" s="1"/>
      <c r="AL1139" s="1"/>
      <c r="AM1139" s="1"/>
      <c r="AN1139" s="1"/>
      <c r="AO1139" s="1"/>
      <c r="AP1139" s="1"/>
      <c r="AQ1139" s="1"/>
      <c r="AR1139" s="1"/>
      <c r="AS1139" s="1"/>
      <c r="AT1139" s="1"/>
      <c r="AU1139" s="1"/>
      <c r="AV1139" s="1"/>
      <c r="AW1139" s="1"/>
      <c r="AX1139" s="1"/>
      <c r="AY1139" s="1"/>
      <c r="AZ1139" s="1"/>
      <c r="BA1139" s="1"/>
      <c r="BB1139" s="1"/>
      <c r="BC1139" s="1"/>
      <c r="BD1139" s="1"/>
      <c r="BE1139" s="1"/>
      <c r="BF1139" s="1"/>
      <c r="BG1139" s="1"/>
      <c r="BH1139" s="1"/>
      <c r="BI1139" s="1"/>
      <c r="BJ1139" s="1"/>
      <c r="BK1139" s="1"/>
      <c r="BL1139" s="1"/>
      <c r="BM1139" s="1"/>
      <c r="BN1139" s="1"/>
      <c r="BO1139" s="1"/>
      <c r="BP1139" s="1"/>
      <c r="BQ1139" s="1"/>
      <c r="BR1139" s="1"/>
      <c r="BS1139" s="1"/>
      <c r="BT1139" s="1"/>
      <c r="BU1139" s="1"/>
      <c r="BV1139" s="1"/>
      <c r="BW1139" s="1"/>
      <c r="BX1139" s="1"/>
      <c r="BY1139" s="1"/>
      <c r="BZ1139" s="1"/>
      <c r="CA1139" s="1"/>
      <c r="CB1139" s="1"/>
      <c r="CC1139" s="1"/>
      <c r="CD1139" s="1"/>
      <c r="CE1139" s="1"/>
      <c r="CF1139" s="1"/>
    </row>
    <row r="1140" spans="1:84" s="3" customFormat="1" x14ac:dyDescent="0.2">
      <c r="A1140" s="17" t="s">
        <v>3921</v>
      </c>
      <c r="B1140" s="17" t="s">
        <v>45</v>
      </c>
      <c r="C1140" s="17">
        <v>2025</v>
      </c>
      <c r="D1140" s="17" t="str">
        <f t="array" ref="D1140">_xlfn.SWITCH(E1140,"Jatikalen","35.18.20","Kertosono", "35.18.08","Lengkong","35.18.19","Loceret","35.18.04","Tanjunganom","35.18.11","Wilangan","35.18.15")</f>
        <v>35.18.11</v>
      </c>
      <c r="E1140" s="94" t="s">
        <v>60</v>
      </c>
      <c r="F1140" s="93" t="s">
        <v>2555</v>
      </c>
      <c r="G1140" s="93" t="s">
        <v>2163</v>
      </c>
      <c r="H1140" s="16" t="s">
        <v>31</v>
      </c>
      <c r="I1140" s="94">
        <v>2</v>
      </c>
      <c r="J1140" s="94">
        <v>1</v>
      </c>
      <c r="K1140" s="94">
        <f t="shared" si="21"/>
        <v>3</v>
      </c>
      <c r="L1140" s="95">
        <v>5000000</v>
      </c>
      <c r="M1140" s="96" t="s">
        <v>2163</v>
      </c>
      <c r="N1140" s="95">
        <v>1200</v>
      </c>
      <c r="O1140" s="94" t="s">
        <v>1398</v>
      </c>
      <c r="P1140" s="97">
        <f>N1140*15000</f>
        <v>18000000</v>
      </c>
      <c r="Q1140" s="96" t="s">
        <v>1946</v>
      </c>
      <c r="R1140" s="95">
        <v>200</v>
      </c>
      <c r="S1140" s="94" t="s">
        <v>1538</v>
      </c>
      <c r="T1140" s="97">
        <f>R1140*15000</f>
        <v>3000000</v>
      </c>
      <c r="U1140" s="94" t="s">
        <v>22</v>
      </c>
      <c r="V1140" s="94"/>
      <c r="W1140" s="94"/>
      <c r="X1140" s="94"/>
      <c r="Y1140" s="94">
        <v>100</v>
      </c>
      <c r="Z1140" s="94">
        <v>0</v>
      </c>
      <c r="AA1140" s="94">
        <v>0</v>
      </c>
      <c r="AB1140" s="94">
        <v>0</v>
      </c>
      <c r="AC1140" s="94"/>
      <c r="AE1140" s="1"/>
      <c r="AF1140" s="2"/>
      <c r="AG1140" s="1"/>
      <c r="AH1140" s="1"/>
      <c r="AI1140" s="1"/>
      <c r="AJ1140" s="1"/>
      <c r="AK1140" s="1"/>
      <c r="AL1140" s="1"/>
      <c r="AM1140" s="1"/>
      <c r="AN1140" s="1"/>
      <c r="AO1140" s="1"/>
      <c r="AP1140" s="1"/>
      <c r="AQ1140" s="1"/>
      <c r="AR1140" s="1"/>
      <c r="AS1140" s="1"/>
      <c r="AT1140" s="1"/>
      <c r="AU1140" s="1"/>
      <c r="AV1140" s="1"/>
      <c r="AW1140" s="1"/>
      <c r="AX1140" s="1"/>
      <c r="AY1140" s="1"/>
      <c r="AZ1140" s="1"/>
      <c r="BA1140" s="1"/>
      <c r="BB1140" s="1"/>
      <c r="BC1140" s="1"/>
      <c r="BD1140" s="1"/>
      <c r="BE1140" s="1"/>
      <c r="BF1140" s="1"/>
      <c r="BG1140" s="1"/>
      <c r="BH1140" s="1"/>
      <c r="BI1140" s="1"/>
      <c r="BJ1140" s="1"/>
      <c r="BK1140" s="1"/>
      <c r="BL1140" s="1"/>
      <c r="BM1140" s="1"/>
      <c r="BN1140" s="1"/>
      <c r="BO1140" s="1"/>
      <c r="BP1140" s="1"/>
      <c r="BQ1140" s="1"/>
      <c r="BR1140" s="1"/>
      <c r="BS1140" s="1"/>
      <c r="BT1140" s="1"/>
      <c r="BU1140" s="1"/>
      <c r="BV1140" s="1"/>
      <c r="BW1140" s="1"/>
      <c r="BX1140" s="1"/>
      <c r="BY1140" s="1"/>
      <c r="BZ1140" s="1"/>
      <c r="CA1140" s="1"/>
      <c r="CB1140" s="1"/>
      <c r="CC1140" s="1"/>
      <c r="CD1140" s="1"/>
      <c r="CE1140" s="1"/>
      <c r="CF1140" s="1"/>
    </row>
    <row r="1141" spans="1:84" s="3" customFormat="1" x14ac:dyDescent="0.2">
      <c r="A1141" s="17" t="s">
        <v>3921</v>
      </c>
      <c r="B1141" s="17" t="s">
        <v>45</v>
      </c>
      <c r="C1141" s="17">
        <v>2025</v>
      </c>
      <c r="D1141" s="17" t="str">
        <f t="array" ref="D1141">_xlfn.SWITCH(E1141,"Jatikalen","35.18.20","Kertosono", "35.18.08","Lengkong","35.18.19","Loceret","35.18.04","Tanjunganom","35.18.11","Wilangan","35.18.15")</f>
        <v>35.18.11</v>
      </c>
      <c r="E1141" s="94" t="s">
        <v>60</v>
      </c>
      <c r="F1141" s="93" t="s">
        <v>2555</v>
      </c>
      <c r="G1141" s="93" t="s">
        <v>2163</v>
      </c>
      <c r="H1141" s="16" t="s">
        <v>31</v>
      </c>
      <c r="I1141" s="94">
        <v>1</v>
      </c>
      <c r="J1141" s="94">
        <v>2</v>
      </c>
      <c r="K1141" s="94">
        <f t="shared" si="21"/>
        <v>3</v>
      </c>
      <c r="L1141" s="95">
        <v>4500000</v>
      </c>
      <c r="M1141" s="96" t="s">
        <v>2163</v>
      </c>
      <c r="N1141" s="95">
        <v>1000</v>
      </c>
      <c r="O1141" s="94" t="s">
        <v>1398</v>
      </c>
      <c r="P1141" s="97">
        <f>N1141*15000</f>
        <v>15000000</v>
      </c>
      <c r="Q1141" s="96" t="s">
        <v>1946</v>
      </c>
      <c r="R1141" s="95">
        <v>230</v>
      </c>
      <c r="S1141" s="94" t="s">
        <v>1538</v>
      </c>
      <c r="T1141" s="97">
        <f>R1141*15000</f>
        <v>3450000</v>
      </c>
      <c r="U1141" s="94" t="s">
        <v>22</v>
      </c>
      <c r="V1141" s="94"/>
      <c r="W1141" s="94"/>
      <c r="X1141" s="94"/>
      <c r="Y1141" s="94">
        <v>100</v>
      </c>
      <c r="Z1141" s="94">
        <v>0</v>
      </c>
      <c r="AA1141" s="94">
        <v>0</v>
      </c>
      <c r="AB1141" s="94">
        <v>0</v>
      </c>
      <c r="AC1141" s="94"/>
      <c r="AE1141" s="1"/>
      <c r="AF1141" s="2"/>
      <c r="AG1141" s="1"/>
      <c r="AH1141" s="1"/>
      <c r="AI1141" s="1"/>
      <c r="AJ1141" s="1"/>
      <c r="AK1141" s="1"/>
      <c r="AL1141" s="1"/>
      <c r="AM1141" s="1"/>
      <c r="AN1141" s="1"/>
      <c r="AO1141" s="1"/>
      <c r="AP1141" s="1"/>
      <c r="AQ1141" s="1"/>
      <c r="AR1141" s="1"/>
      <c r="AS1141" s="1"/>
      <c r="AT1141" s="1"/>
      <c r="AU1141" s="1"/>
      <c r="AV1141" s="1"/>
      <c r="AW1141" s="1"/>
      <c r="AX1141" s="1"/>
      <c r="AY1141" s="1"/>
      <c r="AZ1141" s="1"/>
      <c r="BA1141" s="1"/>
      <c r="BB1141" s="1"/>
      <c r="BC1141" s="1"/>
      <c r="BD1141" s="1"/>
      <c r="BE1141" s="1"/>
      <c r="BF1141" s="1"/>
      <c r="BG1141" s="1"/>
      <c r="BH1141" s="1"/>
      <c r="BI1141" s="1"/>
      <c r="BJ1141" s="1"/>
      <c r="BK1141" s="1"/>
      <c r="BL1141" s="1"/>
      <c r="BM1141" s="1"/>
      <c r="BN1141" s="1"/>
      <c r="BO1141" s="1"/>
      <c r="BP1141" s="1"/>
      <c r="BQ1141" s="1"/>
      <c r="BR1141" s="1"/>
      <c r="BS1141" s="1"/>
      <c r="BT1141" s="1"/>
      <c r="BU1141" s="1"/>
      <c r="BV1141" s="1"/>
      <c r="BW1141" s="1"/>
      <c r="BX1141" s="1"/>
      <c r="BY1141" s="1"/>
      <c r="BZ1141" s="1"/>
      <c r="CA1141" s="1"/>
      <c r="CB1141" s="1"/>
      <c r="CC1141" s="1"/>
      <c r="CD1141" s="1"/>
      <c r="CE1141" s="1"/>
      <c r="CF1141" s="1"/>
    </row>
    <row r="1142" spans="1:84" s="3" customFormat="1" ht="20" x14ac:dyDescent="0.2">
      <c r="A1142" s="17" t="s">
        <v>3921</v>
      </c>
      <c r="B1142" s="17" t="s">
        <v>45</v>
      </c>
      <c r="C1142" s="17">
        <v>2025</v>
      </c>
      <c r="D1142" s="17" t="str">
        <f t="array" ref="D1142">_xlfn.SWITCH(E1142,"Bagor","35.18.14","Sukomoro",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2" s="94" t="s">
        <v>29</v>
      </c>
      <c r="F1142" s="93" t="s">
        <v>2557</v>
      </c>
      <c r="G1142" s="93" t="s">
        <v>2558</v>
      </c>
      <c r="H1142" s="16" t="s">
        <v>31</v>
      </c>
      <c r="I1142" s="94">
        <v>2</v>
      </c>
      <c r="J1142" s="94">
        <v>0</v>
      </c>
      <c r="K1142" s="94">
        <f t="shared" si="21"/>
        <v>2</v>
      </c>
      <c r="L1142" s="95">
        <v>10000000</v>
      </c>
      <c r="M1142" s="96" t="s">
        <v>2446</v>
      </c>
      <c r="N1142" s="95">
        <v>5000</v>
      </c>
      <c r="O1142" s="94" t="s">
        <v>1130</v>
      </c>
      <c r="P1142" s="97">
        <f>N1142*50000</f>
        <v>250000000</v>
      </c>
      <c r="Q1142" s="96" t="s">
        <v>1680</v>
      </c>
      <c r="R1142" s="95">
        <v>15000</v>
      </c>
      <c r="S1142" s="94" t="s">
        <v>422</v>
      </c>
      <c r="T1142" s="97">
        <f>R1142*5500</f>
        <v>82500000</v>
      </c>
      <c r="U1142" s="94" t="s">
        <v>22</v>
      </c>
      <c r="V1142" s="94"/>
      <c r="W1142" s="94"/>
      <c r="X1142" s="94"/>
      <c r="Y1142" s="94">
        <v>100</v>
      </c>
      <c r="Z1142" s="94">
        <v>0</v>
      </c>
      <c r="AA1142" s="94">
        <v>0</v>
      </c>
      <c r="AB1142" s="94">
        <v>0</v>
      </c>
      <c r="AC1142" s="94"/>
      <c r="AE1142" s="1"/>
      <c r="AF1142" s="2"/>
      <c r="AG1142" s="1"/>
      <c r="AH1142" s="1"/>
      <c r="AI1142" s="1"/>
      <c r="AJ1142" s="1"/>
      <c r="AK1142" s="1"/>
      <c r="AL1142" s="1"/>
      <c r="AM1142" s="1"/>
      <c r="AN1142" s="1"/>
      <c r="AO1142" s="1"/>
      <c r="AP1142" s="1"/>
      <c r="AQ1142" s="1"/>
      <c r="AR1142" s="1"/>
      <c r="AS1142" s="1"/>
      <c r="AT1142" s="1"/>
      <c r="AU1142" s="1"/>
      <c r="AV1142" s="1"/>
      <c r="AW1142" s="1"/>
      <c r="AX1142" s="1"/>
      <c r="AY1142" s="1"/>
      <c r="AZ1142" s="1"/>
      <c r="BA1142" s="1"/>
      <c r="BB1142" s="1"/>
      <c r="BC1142" s="1"/>
      <c r="BD1142" s="1"/>
      <c r="BE1142" s="1"/>
      <c r="BF1142" s="1"/>
      <c r="BG1142" s="1"/>
      <c r="BH1142" s="1"/>
      <c r="BI1142" s="1"/>
      <c r="BJ1142" s="1"/>
      <c r="BK1142" s="1"/>
      <c r="BL1142" s="1"/>
      <c r="BM1142" s="1"/>
      <c r="BN1142" s="1"/>
      <c r="BO1142" s="1"/>
      <c r="BP1142" s="1"/>
      <c r="BQ1142" s="1"/>
      <c r="BR1142" s="1"/>
      <c r="BS1142" s="1"/>
      <c r="BT1142" s="1"/>
      <c r="BU1142" s="1"/>
      <c r="BV1142" s="1"/>
      <c r="BW1142" s="1"/>
      <c r="BX1142" s="1"/>
      <c r="BY1142" s="1"/>
      <c r="BZ1142" s="1"/>
      <c r="CA1142" s="1"/>
      <c r="CB1142" s="1"/>
      <c r="CC1142" s="1"/>
      <c r="CD1142" s="1"/>
      <c r="CE1142" s="1"/>
      <c r="CF1142" s="1"/>
    </row>
    <row r="1143" spans="1:84" s="3" customFormat="1" ht="20" x14ac:dyDescent="0.2">
      <c r="A1143" s="17" t="s">
        <v>3921</v>
      </c>
      <c r="B1143" s="17" t="s">
        <v>45</v>
      </c>
      <c r="C1143" s="17">
        <v>2025</v>
      </c>
      <c r="D1143" s="17" t="str">
        <f t="array" ref="D1143">_xlfn.SWITCH(E1143,"Bagor","35.18.14","Sukomoro",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3" s="94" t="s">
        <v>29</v>
      </c>
      <c r="F1143" s="93" t="s">
        <v>2557</v>
      </c>
      <c r="G1143" s="93" t="s">
        <v>2556</v>
      </c>
      <c r="H1143" s="16" t="s">
        <v>31</v>
      </c>
      <c r="I1143" s="94">
        <v>2</v>
      </c>
      <c r="J1143" s="94">
        <v>0</v>
      </c>
      <c r="K1143" s="94">
        <f t="shared" si="21"/>
        <v>2</v>
      </c>
      <c r="L1143" s="95">
        <v>5000000</v>
      </c>
      <c r="M1143" s="96" t="s">
        <v>2446</v>
      </c>
      <c r="N1143" s="95">
        <v>3200</v>
      </c>
      <c r="O1143" s="94" t="s">
        <v>1130</v>
      </c>
      <c r="P1143" s="97">
        <f>N1143*50000</f>
        <v>160000000</v>
      </c>
      <c r="Q1143" s="96" t="s">
        <v>1680</v>
      </c>
      <c r="R1143" s="95">
        <v>6000</v>
      </c>
      <c r="S1143" s="94" t="s">
        <v>422</v>
      </c>
      <c r="T1143" s="97">
        <f>R1143*5500</f>
        <v>33000000</v>
      </c>
      <c r="U1143" s="94" t="s">
        <v>22</v>
      </c>
      <c r="V1143" s="94"/>
      <c r="W1143" s="94"/>
      <c r="X1143" s="94"/>
      <c r="Y1143" s="94">
        <v>100</v>
      </c>
      <c r="Z1143" s="94">
        <v>0</v>
      </c>
      <c r="AA1143" s="94">
        <v>0</v>
      </c>
      <c r="AB1143" s="94">
        <v>0</v>
      </c>
      <c r="AC1143" s="94"/>
      <c r="AE1143" s="1"/>
      <c r="AF1143" s="2"/>
      <c r="AG1143" s="1"/>
      <c r="AH1143" s="1"/>
      <c r="AI1143" s="1"/>
      <c r="AJ1143" s="1"/>
      <c r="AK1143" s="1"/>
      <c r="AL1143" s="1"/>
      <c r="AM1143" s="1"/>
      <c r="AN1143" s="1"/>
      <c r="AO1143" s="1"/>
      <c r="AP1143" s="1"/>
      <c r="AQ1143" s="1"/>
      <c r="AR1143" s="1"/>
      <c r="AS1143" s="1"/>
      <c r="AT1143" s="1"/>
      <c r="AU1143" s="1"/>
      <c r="AV1143" s="1"/>
      <c r="AW1143" s="1"/>
      <c r="AX1143" s="1"/>
      <c r="AY1143" s="1"/>
      <c r="AZ1143" s="1"/>
      <c r="BA1143" s="1"/>
      <c r="BB1143" s="1"/>
      <c r="BC1143" s="1"/>
      <c r="BD1143" s="1"/>
      <c r="BE1143" s="1"/>
      <c r="BF1143" s="1"/>
      <c r="BG1143" s="1"/>
      <c r="BH1143" s="1"/>
      <c r="BI1143" s="1"/>
      <c r="BJ1143" s="1"/>
      <c r="BK1143" s="1"/>
      <c r="BL1143" s="1"/>
      <c r="BM1143" s="1"/>
      <c r="BN1143" s="1"/>
      <c r="BO1143" s="1"/>
      <c r="BP1143" s="1"/>
      <c r="BQ1143" s="1"/>
      <c r="BR1143" s="1"/>
      <c r="BS1143" s="1"/>
      <c r="BT1143" s="1"/>
      <c r="BU1143" s="1"/>
      <c r="BV1143" s="1"/>
      <c r="BW1143" s="1"/>
      <c r="BX1143" s="1"/>
      <c r="BY1143" s="1"/>
      <c r="BZ1143" s="1"/>
      <c r="CA1143" s="1"/>
      <c r="CB1143" s="1"/>
      <c r="CC1143" s="1"/>
      <c r="CD1143" s="1"/>
      <c r="CE1143" s="1"/>
      <c r="CF1143" s="1"/>
    </row>
    <row r="1144" spans="1:84" s="3" customFormat="1" ht="20" x14ac:dyDescent="0.2">
      <c r="A1144" s="17" t="s">
        <v>3921</v>
      </c>
      <c r="B1144" s="17" t="s">
        <v>45</v>
      </c>
      <c r="C1144" s="17">
        <v>2025</v>
      </c>
      <c r="D1144" s="17" t="str">
        <f t="array" ref="D1144">_xlfn.SWITCH(E1144,"Bagor","35.18.14","Sukomoro",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4" s="94" t="s">
        <v>29</v>
      </c>
      <c r="F1144" s="93" t="s">
        <v>2557</v>
      </c>
      <c r="G1144" s="93" t="s">
        <v>2556</v>
      </c>
      <c r="H1144" s="16" t="s">
        <v>31</v>
      </c>
      <c r="I1144" s="94">
        <v>2</v>
      </c>
      <c r="J1144" s="94">
        <v>0</v>
      </c>
      <c r="K1144" s="94">
        <f t="shared" si="21"/>
        <v>2</v>
      </c>
      <c r="L1144" s="95">
        <v>4000000</v>
      </c>
      <c r="M1144" s="96" t="s">
        <v>2446</v>
      </c>
      <c r="N1144" s="95">
        <v>4000</v>
      </c>
      <c r="O1144" s="94" t="s">
        <v>1130</v>
      </c>
      <c r="P1144" s="97">
        <f>N1144*50000</f>
        <v>200000000</v>
      </c>
      <c r="Q1144" s="96" t="s">
        <v>1680</v>
      </c>
      <c r="R1144" s="95">
        <v>12000</v>
      </c>
      <c r="S1144" s="94" t="s">
        <v>422</v>
      </c>
      <c r="T1144" s="97">
        <f>R1144*5500</f>
        <v>66000000</v>
      </c>
      <c r="U1144" s="94" t="s">
        <v>22</v>
      </c>
      <c r="V1144" s="94"/>
      <c r="W1144" s="94"/>
      <c r="X1144" s="94"/>
      <c r="Y1144" s="94">
        <v>100</v>
      </c>
      <c r="Z1144" s="94">
        <v>0</v>
      </c>
      <c r="AA1144" s="94">
        <v>0</v>
      </c>
      <c r="AB1144" s="94">
        <v>0</v>
      </c>
      <c r="AC1144" s="94"/>
      <c r="AE1144" s="1"/>
      <c r="AF1144" s="2"/>
      <c r="AG1144" s="1"/>
      <c r="AH1144" s="1"/>
      <c r="AI1144" s="1"/>
      <c r="AJ1144" s="1"/>
      <c r="AK1144" s="1"/>
      <c r="AL1144" s="1"/>
      <c r="AM1144" s="1"/>
      <c r="AN1144" s="1"/>
      <c r="AO1144" s="1"/>
      <c r="AP1144" s="1"/>
      <c r="AQ1144" s="1"/>
      <c r="AR1144" s="1"/>
      <c r="AS1144" s="1"/>
      <c r="AT1144" s="1"/>
      <c r="AU1144" s="1"/>
      <c r="AV1144" s="1"/>
      <c r="AW1144" s="1"/>
      <c r="AX1144" s="1"/>
      <c r="AY1144" s="1"/>
      <c r="AZ1144" s="1"/>
      <c r="BA1144" s="1"/>
      <c r="BB1144" s="1"/>
      <c r="BC1144" s="1"/>
      <c r="BD1144" s="1"/>
      <c r="BE1144" s="1"/>
      <c r="BF1144" s="1"/>
      <c r="BG1144" s="1"/>
      <c r="BH1144" s="1"/>
      <c r="BI1144" s="1"/>
      <c r="BJ1144" s="1"/>
      <c r="BK1144" s="1"/>
      <c r="BL1144" s="1"/>
      <c r="BM1144" s="1"/>
      <c r="BN1144" s="1"/>
      <c r="BO1144" s="1"/>
      <c r="BP1144" s="1"/>
      <c r="BQ1144" s="1"/>
      <c r="BR1144" s="1"/>
      <c r="BS1144" s="1"/>
      <c r="BT1144" s="1"/>
      <c r="BU1144" s="1"/>
      <c r="BV1144" s="1"/>
      <c r="BW1144" s="1"/>
      <c r="BX1144" s="1"/>
      <c r="BY1144" s="1"/>
      <c r="BZ1144" s="1"/>
      <c r="CA1144" s="1"/>
      <c r="CB1144" s="1"/>
      <c r="CC1144" s="1"/>
      <c r="CD1144" s="1"/>
      <c r="CE1144" s="1"/>
      <c r="CF1144" s="1"/>
    </row>
    <row r="1145" spans="1:84" s="3" customFormat="1" ht="20" x14ac:dyDescent="0.2">
      <c r="A1145" s="17" t="s">
        <v>3921</v>
      </c>
      <c r="B1145" s="17" t="s">
        <v>45</v>
      </c>
      <c r="C1145" s="17">
        <v>2025</v>
      </c>
      <c r="D1145" s="17" t="str">
        <f t="array" ref="D1145">_xlfn.SWITCH(E1145,"Bagor","35.18.14","Sukomoro",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5" s="94" t="s">
        <v>29</v>
      </c>
      <c r="F1145" s="93" t="s">
        <v>2557</v>
      </c>
      <c r="G1145" s="93" t="s">
        <v>2556</v>
      </c>
      <c r="H1145" s="16" t="s">
        <v>31</v>
      </c>
      <c r="I1145" s="94">
        <v>2</v>
      </c>
      <c r="J1145" s="94">
        <v>1</v>
      </c>
      <c r="K1145" s="94">
        <f t="shared" si="21"/>
        <v>3</v>
      </c>
      <c r="L1145" s="95">
        <v>5000000</v>
      </c>
      <c r="M1145" s="96" t="s">
        <v>2446</v>
      </c>
      <c r="N1145" s="95">
        <v>2500</v>
      </c>
      <c r="O1145" s="94" t="s">
        <v>1130</v>
      </c>
      <c r="P1145" s="97">
        <f>N1145*50000</f>
        <v>125000000</v>
      </c>
      <c r="Q1145" s="96" t="s">
        <v>1680</v>
      </c>
      <c r="R1145" s="95">
        <v>5400</v>
      </c>
      <c r="S1145" s="94" t="s">
        <v>422</v>
      </c>
      <c r="T1145" s="97">
        <f>R1145*5500</f>
        <v>29700000</v>
      </c>
      <c r="U1145" s="94" t="s">
        <v>22</v>
      </c>
      <c r="V1145" s="94"/>
      <c r="W1145" s="94"/>
      <c r="X1145" s="94"/>
      <c r="Y1145" s="94">
        <v>100</v>
      </c>
      <c r="Z1145" s="94">
        <v>0</v>
      </c>
      <c r="AA1145" s="94">
        <v>0</v>
      </c>
      <c r="AB1145" s="94">
        <v>0</v>
      </c>
      <c r="AC1145" s="94"/>
      <c r="AE1145" s="1"/>
      <c r="AF1145" s="2"/>
      <c r="AG1145" s="1"/>
      <c r="AH1145" s="1"/>
      <c r="AI1145" s="1"/>
      <c r="AJ1145" s="1"/>
      <c r="AK1145" s="1"/>
      <c r="AL1145" s="1"/>
      <c r="AM1145" s="1"/>
      <c r="AN1145" s="1"/>
      <c r="AO1145" s="1"/>
      <c r="AP1145" s="1"/>
      <c r="AQ1145" s="1"/>
      <c r="AR1145" s="1"/>
      <c r="AS1145" s="1"/>
      <c r="AT1145" s="1"/>
      <c r="AU1145" s="1"/>
      <c r="AV1145" s="1"/>
      <c r="AW1145" s="1"/>
      <c r="AX1145" s="1"/>
      <c r="AY1145" s="1"/>
      <c r="AZ1145" s="1"/>
      <c r="BA1145" s="1"/>
      <c r="BB1145" s="1"/>
      <c r="BC1145" s="1"/>
      <c r="BD1145" s="1"/>
      <c r="BE1145" s="1"/>
      <c r="BF1145" s="1"/>
      <c r="BG1145" s="1"/>
      <c r="BH1145" s="1"/>
      <c r="BI1145" s="1"/>
      <c r="BJ1145" s="1"/>
      <c r="BK1145" s="1"/>
      <c r="BL1145" s="1"/>
      <c r="BM1145" s="1"/>
      <c r="BN1145" s="1"/>
      <c r="BO1145" s="1"/>
      <c r="BP1145" s="1"/>
      <c r="BQ1145" s="1"/>
      <c r="BR1145" s="1"/>
      <c r="BS1145" s="1"/>
      <c r="BT1145" s="1"/>
      <c r="BU1145" s="1"/>
      <c r="BV1145" s="1"/>
      <c r="BW1145" s="1"/>
      <c r="BX1145" s="1"/>
      <c r="BY1145" s="1"/>
      <c r="BZ1145" s="1"/>
      <c r="CA1145" s="1"/>
      <c r="CB1145" s="1"/>
      <c r="CC1145" s="1"/>
      <c r="CD1145" s="1"/>
      <c r="CE1145" s="1"/>
      <c r="CF1145" s="1"/>
    </row>
    <row r="1146" spans="1:84" s="3" customFormat="1" ht="20" x14ac:dyDescent="0.2">
      <c r="A1146" s="17" t="s">
        <v>3921</v>
      </c>
      <c r="B1146" s="17" t="s">
        <v>45</v>
      </c>
      <c r="C1146" s="17">
        <v>2025</v>
      </c>
      <c r="D1146" s="17" t="str">
        <f t="array" ref="D1146">_xlfn.SWITCH(E1146,"Bagor","35.18.14","Sukomoro",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6" s="94" t="s">
        <v>29</v>
      </c>
      <c r="F1146" s="93" t="s">
        <v>2557</v>
      </c>
      <c r="G1146" s="93" t="s">
        <v>2556</v>
      </c>
      <c r="H1146" s="16" t="s">
        <v>31</v>
      </c>
      <c r="I1146" s="94">
        <v>2</v>
      </c>
      <c r="J1146" s="94">
        <v>2</v>
      </c>
      <c r="K1146" s="94">
        <f t="shared" si="21"/>
        <v>4</v>
      </c>
      <c r="L1146" s="95">
        <v>5000000</v>
      </c>
      <c r="M1146" s="96" t="s">
        <v>2446</v>
      </c>
      <c r="N1146" s="95">
        <v>2000</v>
      </c>
      <c r="O1146" s="94" t="s">
        <v>1130</v>
      </c>
      <c r="P1146" s="97">
        <f>N1146*50000</f>
        <v>100000000</v>
      </c>
      <c r="Q1146" s="96" t="s">
        <v>1680</v>
      </c>
      <c r="R1146" s="95">
        <v>4000</v>
      </c>
      <c r="S1146" s="94" t="s">
        <v>422</v>
      </c>
      <c r="T1146" s="97">
        <f>R1146*5500</f>
        <v>22000000</v>
      </c>
      <c r="U1146" s="94" t="s">
        <v>22</v>
      </c>
      <c r="V1146" s="94"/>
      <c r="W1146" s="94"/>
      <c r="X1146" s="94"/>
      <c r="Y1146" s="94">
        <v>100</v>
      </c>
      <c r="Z1146" s="94">
        <v>0</v>
      </c>
      <c r="AA1146" s="94">
        <v>0</v>
      </c>
      <c r="AB1146" s="94">
        <v>0</v>
      </c>
      <c r="AC1146" s="94"/>
      <c r="AE1146" s="1"/>
      <c r="AF1146" s="2"/>
      <c r="AG1146" s="1"/>
      <c r="AH1146" s="1"/>
      <c r="AI1146" s="1"/>
      <c r="AJ1146" s="1"/>
      <c r="AK1146" s="1"/>
      <c r="AL1146" s="1"/>
      <c r="AM1146" s="1"/>
      <c r="AN1146" s="1"/>
      <c r="AO1146" s="1"/>
      <c r="AP1146" s="1"/>
      <c r="AQ1146" s="1"/>
      <c r="AR1146" s="1"/>
      <c r="AS1146" s="1"/>
      <c r="AT1146" s="1"/>
      <c r="AU1146" s="1"/>
      <c r="AV1146" s="1"/>
      <c r="AW1146" s="1"/>
      <c r="AX1146" s="1"/>
      <c r="AY1146" s="1"/>
      <c r="AZ1146" s="1"/>
      <c r="BA1146" s="1"/>
      <c r="BB1146" s="1"/>
      <c r="BC1146" s="1"/>
      <c r="BD1146" s="1"/>
      <c r="BE1146" s="1"/>
      <c r="BF1146" s="1"/>
      <c r="BG1146" s="1"/>
      <c r="BH1146" s="1"/>
      <c r="BI1146" s="1"/>
      <c r="BJ1146" s="1"/>
      <c r="BK1146" s="1"/>
      <c r="BL1146" s="1"/>
      <c r="BM1146" s="1"/>
      <c r="BN1146" s="1"/>
      <c r="BO1146" s="1"/>
      <c r="BP1146" s="1"/>
      <c r="BQ1146" s="1"/>
      <c r="BR1146" s="1"/>
      <c r="BS1146" s="1"/>
      <c r="BT1146" s="1"/>
      <c r="BU1146" s="1"/>
      <c r="BV1146" s="1"/>
      <c r="BW1146" s="1"/>
      <c r="BX1146" s="1"/>
      <c r="BY1146" s="1"/>
      <c r="BZ1146" s="1"/>
      <c r="CA1146" s="1"/>
      <c r="CB1146" s="1"/>
      <c r="CC1146" s="1"/>
      <c r="CD1146" s="1"/>
      <c r="CE1146" s="1"/>
      <c r="CF1146" s="1"/>
    </row>
    <row r="1147" spans="1:84" s="3" customFormat="1" x14ac:dyDescent="0.2">
      <c r="A1147" s="17" t="s">
        <v>3921</v>
      </c>
      <c r="B1147" s="17" t="s">
        <v>45</v>
      </c>
      <c r="C1147" s="17">
        <v>2025</v>
      </c>
      <c r="D1147" s="17" t="str">
        <f t="array" ref="D1147">_xlfn.SWITCH(E1147,"Bagor","35.18.14","Sukomoro",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47" s="94" t="s">
        <v>45</v>
      </c>
      <c r="F1147" s="93" t="s">
        <v>2559</v>
      </c>
      <c r="G1147" s="93" t="s">
        <v>2520</v>
      </c>
      <c r="H1147" s="16" t="s">
        <v>31</v>
      </c>
      <c r="I1147" s="94">
        <v>3</v>
      </c>
      <c r="J1147" s="94">
        <v>1</v>
      </c>
      <c r="K1147" s="94">
        <f t="shared" si="21"/>
        <v>4</v>
      </c>
      <c r="L1147" s="95">
        <v>10000000</v>
      </c>
      <c r="M1147" s="96" t="s">
        <v>2520</v>
      </c>
      <c r="N1147" s="95">
        <f>300*30*12</f>
        <v>108000</v>
      </c>
      <c r="O1147" s="94" t="s">
        <v>422</v>
      </c>
      <c r="P1147" s="97">
        <f>N1147*5000</f>
        <v>540000000</v>
      </c>
      <c r="Q1147" s="96" t="s">
        <v>2549</v>
      </c>
      <c r="R1147" s="95">
        <v>200000</v>
      </c>
      <c r="S1147" s="94" t="s">
        <v>422</v>
      </c>
      <c r="T1147" s="97">
        <f>R1147*2000</f>
        <v>400000000</v>
      </c>
      <c r="U1147" s="94" t="s">
        <v>22</v>
      </c>
      <c r="V1147" s="94"/>
      <c r="W1147" s="94"/>
      <c r="X1147" s="94"/>
      <c r="Y1147" s="94">
        <v>80</v>
      </c>
      <c r="Z1147" s="94">
        <v>20</v>
      </c>
      <c r="AA1147" s="94">
        <v>0</v>
      </c>
      <c r="AB1147" s="94">
        <v>0</v>
      </c>
      <c r="AC1147" s="94"/>
      <c r="AE1147" s="1"/>
      <c r="AF1147" s="2"/>
      <c r="AG1147" s="1"/>
      <c r="AH1147" s="1"/>
      <c r="AI1147" s="1"/>
      <c r="AJ1147" s="1"/>
      <c r="AK1147" s="1"/>
      <c r="AL1147" s="1"/>
      <c r="AM1147" s="1"/>
      <c r="AN1147" s="1"/>
      <c r="AO1147" s="1"/>
      <c r="AP1147" s="1"/>
      <c r="AQ1147" s="1"/>
      <c r="AR1147" s="1"/>
      <c r="AS1147" s="1"/>
      <c r="AT1147" s="1"/>
      <c r="AU1147" s="1"/>
      <c r="AV1147" s="1"/>
      <c r="AW1147" s="1"/>
      <c r="AX1147" s="1"/>
      <c r="AY1147" s="1"/>
      <c r="AZ1147" s="1"/>
      <c r="BA1147" s="1"/>
      <c r="BB1147" s="1"/>
      <c r="BC1147" s="1"/>
      <c r="BD1147" s="1"/>
      <c r="BE1147" s="1"/>
      <c r="BF1147" s="1"/>
      <c r="BG1147" s="1"/>
      <c r="BH1147" s="1"/>
      <c r="BI1147" s="1"/>
      <c r="BJ1147" s="1"/>
      <c r="BK1147" s="1"/>
      <c r="BL1147" s="1"/>
      <c r="BM1147" s="1"/>
      <c r="BN1147" s="1"/>
      <c r="BO1147" s="1"/>
      <c r="BP1147" s="1"/>
      <c r="BQ1147" s="1"/>
      <c r="BR1147" s="1"/>
      <c r="BS1147" s="1"/>
      <c r="BT1147" s="1"/>
      <c r="BU1147" s="1"/>
      <c r="BV1147" s="1"/>
      <c r="BW1147" s="1"/>
      <c r="BX1147" s="1"/>
      <c r="BY1147" s="1"/>
      <c r="BZ1147" s="1"/>
      <c r="CA1147" s="1"/>
      <c r="CB1147" s="1"/>
      <c r="CC1147" s="1"/>
      <c r="CD1147" s="1"/>
      <c r="CE1147" s="1"/>
      <c r="CF1147" s="1"/>
    </row>
    <row r="1148" spans="1:84" s="3" customFormat="1" x14ac:dyDescent="0.2">
      <c r="A1148" s="17" t="s">
        <v>3921</v>
      </c>
      <c r="B1148" s="17" t="s">
        <v>45</v>
      </c>
      <c r="C1148" s="17">
        <v>2025</v>
      </c>
      <c r="D1148" s="17" t="str">
        <f t="array" ref="D1148">_xlfn.SWITCH(E1148,"Bagor","35.18.14","Sukomoro",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48" s="94" t="s">
        <v>45</v>
      </c>
      <c r="F1148" s="93" t="s">
        <v>2559</v>
      </c>
      <c r="G1148" s="93" t="s">
        <v>2560</v>
      </c>
      <c r="H1148" s="94" t="s">
        <v>47</v>
      </c>
      <c r="I1148" s="94">
        <v>13</v>
      </c>
      <c r="J1148" s="94">
        <v>12</v>
      </c>
      <c r="K1148" s="94">
        <f t="shared" si="21"/>
        <v>25</v>
      </c>
      <c r="L1148" s="95">
        <v>50000000</v>
      </c>
      <c r="M1148" s="96" t="s">
        <v>2520</v>
      </c>
      <c r="N1148" s="95">
        <f>350*30*12</f>
        <v>126000</v>
      </c>
      <c r="O1148" s="94" t="s">
        <v>422</v>
      </c>
      <c r="P1148" s="97">
        <f>N1148*5000</f>
        <v>630000000</v>
      </c>
      <c r="Q1148" s="96" t="s">
        <v>2549</v>
      </c>
      <c r="R1148" s="95">
        <v>240000</v>
      </c>
      <c r="S1148" s="94" t="s">
        <v>422</v>
      </c>
      <c r="T1148" s="97">
        <f>R1148*2000</f>
        <v>480000000</v>
      </c>
      <c r="U1148" s="94" t="s">
        <v>22</v>
      </c>
      <c r="V1148" s="94"/>
      <c r="W1148" s="94"/>
      <c r="X1148" s="94"/>
      <c r="Y1148" s="94">
        <v>60</v>
      </c>
      <c r="Z1148" s="94">
        <v>40</v>
      </c>
      <c r="AA1148" s="94">
        <v>0</v>
      </c>
      <c r="AB1148" s="94">
        <v>0</v>
      </c>
      <c r="AC1148" s="94"/>
      <c r="AE1148" s="1"/>
      <c r="AF1148" s="2"/>
      <c r="AG1148" s="1"/>
      <c r="AH1148" s="1"/>
      <c r="AI1148" s="1"/>
      <c r="AJ1148" s="1"/>
      <c r="AK1148" s="1"/>
      <c r="AL1148" s="1"/>
      <c r="AM1148" s="1"/>
      <c r="AN1148" s="1"/>
      <c r="AO1148" s="1"/>
      <c r="AP1148" s="1"/>
      <c r="AQ1148" s="1"/>
      <c r="AR1148" s="1"/>
      <c r="AS1148" s="1"/>
      <c r="AT1148" s="1"/>
      <c r="AU1148" s="1"/>
      <c r="AV1148" s="1"/>
      <c r="AW1148" s="1"/>
      <c r="AX1148" s="1"/>
      <c r="AY1148" s="1"/>
      <c r="AZ1148" s="1"/>
      <c r="BA1148" s="1"/>
      <c r="BB1148" s="1"/>
      <c r="BC1148" s="1"/>
      <c r="BD1148" s="1"/>
      <c r="BE1148" s="1"/>
      <c r="BF1148" s="1"/>
      <c r="BG1148" s="1"/>
      <c r="BH1148" s="1"/>
      <c r="BI1148" s="1"/>
      <c r="BJ1148" s="1"/>
      <c r="BK1148" s="1"/>
      <c r="BL1148" s="1"/>
      <c r="BM1148" s="1"/>
      <c r="BN1148" s="1"/>
      <c r="BO1148" s="1"/>
      <c r="BP1148" s="1"/>
      <c r="BQ1148" s="1"/>
      <c r="BR1148" s="1"/>
      <c r="BS1148" s="1"/>
      <c r="BT1148" s="1"/>
      <c r="BU1148" s="1"/>
      <c r="BV1148" s="1"/>
      <c r="BW1148" s="1"/>
      <c r="BX1148" s="1"/>
      <c r="BY1148" s="1"/>
      <c r="BZ1148" s="1"/>
      <c r="CA1148" s="1"/>
      <c r="CB1148" s="1"/>
      <c r="CC1148" s="1"/>
      <c r="CD1148" s="1"/>
      <c r="CE1148" s="1"/>
      <c r="CF1148" s="1"/>
    </row>
    <row r="1149" spans="1:84" s="3" customFormat="1" x14ac:dyDescent="0.2">
      <c r="A1149" s="17" t="s">
        <v>3921</v>
      </c>
      <c r="B1149" s="17" t="s">
        <v>45</v>
      </c>
      <c r="C1149" s="17">
        <v>2025</v>
      </c>
      <c r="D1149" s="17" t="str">
        <f t="array" ref="D1149">_xlfn.SWITCH(E1149,"Bagor","35.18.14","Sukomoro",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9" s="94" t="s">
        <v>29</v>
      </c>
      <c r="F1149" s="93" t="s">
        <v>245</v>
      </c>
      <c r="G1149" s="93" t="s">
        <v>2561</v>
      </c>
      <c r="H1149" s="94" t="s">
        <v>81</v>
      </c>
      <c r="I1149" s="94">
        <v>5</v>
      </c>
      <c r="J1149" s="94">
        <v>1</v>
      </c>
      <c r="K1149" s="94">
        <f t="shared" si="21"/>
        <v>6</v>
      </c>
      <c r="L1149" s="95">
        <v>25000000</v>
      </c>
      <c r="M1149" s="96" t="s">
        <v>2208</v>
      </c>
      <c r="N1149" s="95">
        <v>1200</v>
      </c>
      <c r="O1149" s="94" t="s">
        <v>1263</v>
      </c>
      <c r="P1149" s="97">
        <v>144000000</v>
      </c>
      <c r="Q1149" s="96" t="s">
        <v>1680</v>
      </c>
      <c r="R1149" s="95">
        <v>98</v>
      </c>
      <c r="S1149" s="94" t="s">
        <v>69</v>
      </c>
      <c r="T1149" s="97">
        <v>120000000</v>
      </c>
      <c r="U1149" s="94" t="s">
        <v>22</v>
      </c>
      <c r="V1149" s="94"/>
      <c r="W1149" s="94"/>
      <c r="X1149" s="94"/>
      <c r="Y1149" s="94">
        <v>100</v>
      </c>
      <c r="Z1149" s="94">
        <v>0</v>
      </c>
      <c r="AA1149" s="94">
        <v>0</v>
      </c>
      <c r="AB1149" s="94">
        <v>0</v>
      </c>
      <c r="AC1149" s="94"/>
      <c r="AE1149" s="1"/>
      <c r="AF1149" s="2"/>
      <c r="AG1149" s="1"/>
      <c r="AH1149" s="1"/>
      <c r="AI1149" s="1"/>
      <c r="AJ1149" s="1"/>
      <c r="AK1149" s="1"/>
      <c r="AL1149" s="1"/>
      <c r="AM1149" s="1"/>
      <c r="AN1149" s="1"/>
      <c r="AO1149" s="1"/>
      <c r="AP1149" s="1"/>
      <c r="AQ1149" s="1"/>
      <c r="AR1149" s="1"/>
      <c r="AS1149" s="1"/>
      <c r="AT1149" s="1"/>
      <c r="AU1149" s="1"/>
      <c r="AV1149" s="1"/>
      <c r="AW1149" s="1"/>
      <c r="AX1149" s="1"/>
      <c r="AY1149" s="1"/>
      <c r="AZ1149" s="1"/>
      <c r="BA1149" s="1"/>
      <c r="BB1149" s="1"/>
      <c r="BC1149" s="1"/>
      <c r="BD1149" s="1"/>
      <c r="BE1149" s="1"/>
      <c r="BF1149" s="1"/>
      <c r="BG1149" s="1"/>
      <c r="BH1149" s="1"/>
      <c r="BI1149" s="1"/>
      <c r="BJ1149" s="1"/>
      <c r="BK1149" s="1"/>
      <c r="BL1149" s="1"/>
      <c r="BM1149" s="1"/>
      <c r="BN1149" s="1"/>
      <c r="BO1149" s="1"/>
      <c r="BP1149" s="1"/>
      <c r="BQ1149" s="1"/>
      <c r="BR1149" s="1"/>
      <c r="BS1149" s="1"/>
      <c r="BT1149" s="1"/>
      <c r="BU1149" s="1"/>
      <c r="BV1149" s="1"/>
      <c r="BW1149" s="1"/>
      <c r="BX1149" s="1"/>
      <c r="BY1149" s="1"/>
      <c r="BZ1149" s="1"/>
      <c r="CA1149" s="1"/>
      <c r="CB1149" s="1"/>
      <c r="CC1149" s="1"/>
      <c r="CD1149" s="1"/>
      <c r="CE1149" s="1"/>
      <c r="CF1149" s="1"/>
    </row>
    <row r="1150" spans="1:84" s="3" customFormat="1" ht="20" x14ac:dyDescent="0.2">
      <c r="A1150" s="17" t="s">
        <v>3921</v>
      </c>
      <c r="B1150" s="17" t="s">
        <v>45</v>
      </c>
      <c r="C1150" s="17">
        <v>2025</v>
      </c>
      <c r="D1150" s="17" t="str">
        <f t="array" ref="D1150">_xlfn.SWITCH(E1150,"Bagor","35.18.14","Sukomoro",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150" s="94" t="s">
        <v>162</v>
      </c>
      <c r="F1150" s="93" t="s">
        <v>2562</v>
      </c>
      <c r="G1150" s="93" t="s">
        <v>2563</v>
      </c>
      <c r="H1150" s="94" t="s">
        <v>47</v>
      </c>
      <c r="I1150" s="94">
        <v>5</v>
      </c>
      <c r="J1150" s="94">
        <v>0</v>
      </c>
      <c r="K1150" s="94">
        <f t="shared" si="21"/>
        <v>5</v>
      </c>
      <c r="L1150" s="95">
        <v>500000000</v>
      </c>
      <c r="M1150" s="96" t="s">
        <v>2564</v>
      </c>
      <c r="N1150" s="95">
        <v>150000</v>
      </c>
      <c r="O1150" s="94" t="s">
        <v>1398</v>
      </c>
      <c r="P1150" s="97">
        <f>N1150*4000</f>
        <v>600000000</v>
      </c>
      <c r="Q1150" s="96" t="s">
        <v>2565</v>
      </c>
      <c r="R1150" s="98">
        <v>1000</v>
      </c>
      <c r="S1150" s="94" t="s">
        <v>1538</v>
      </c>
      <c r="T1150" s="97">
        <f>P1150/2</f>
        <v>300000000</v>
      </c>
      <c r="U1150" s="94" t="s">
        <v>22</v>
      </c>
      <c r="V1150" s="94"/>
      <c r="W1150" s="94"/>
      <c r="X1150" s="94"/>
      <c r="Y1150" s="94">
        <v>100</v>
      </c>
      <c r="Z1150" s="94">
        <v>0</v>
      </c>
      <c r="AA1150" s="94">
        <v>0</v>
      </c>
      <c r="AB1150" s="94">
        <v>0</v>
      </c>
      <c r="AC1150" s="94"/>
      <c r="AE1150" s="1"/>
      <c r="AF1150" s="2"/>
      <c r="AG1150" s="1"/>
      <c r="AH1150" s="1"/>
      <c r="AI1150" s="1"/>
      <c r="AJ1150" s="1"/>
      <c r="AK1150" s="1"/>
      <c r="AL1150" s="1"/>
      <c r="AM1150" s="1"/>
      <c r="AN1150" s="1"/>
      <c r="AO1150" s="1"/>
      <c r="AP1150" s="1"/>
      <c r="AQ1150" s="1"/>
      <c r="AR1150" s="1"/>
      <c r="AS1150" s="1"/>
      <c r="AT1150" s="1"/>
      <c r="AU1150" s="1"/>
      <c r="AV1150" s="1"/>
      <c r="AW1150" s="1"/>
      <c r="AX1150" s="1"/>
      <c r="AY1150" s="1"/>
      <c r="AZ1150" s="1"/>
      <c r="BA1150" s="1"/>
      <c r="BB1150" s="1"/>
      <c r="BC1150" s="1"/>
      <c r="BD1150" s="1"/>
      <c r="BE1150" s="1"/>
      <c r="BF1150" s="1"/>
      <c r="BG1150" s="1"/>
      <c r="BH1150" s="1"/>
      <c r="BI1150" s="1"/>
      <c r="BJ1150" s="1"/>
      <c r="BK1150" s="1"/>
      <c r="BL1150" s="1"/>
      <c r="BM1150" s="1"/>
      <c r="BN1150" s="1"/>
      <c r="BO1150" s="1"/>
      <c r="BP1150" s="1"/>
      <c r="BQ1150" s="1"/>
      <c r="BR1150" s="1"/>
      <c r="BS1150" s="1"/>
      <c r="BT1150" s="1"/>
      <c r="BU1150" s="1"/>
      <c r="BV1150" s="1"/>
      <c r="BW1150" s="1"/>
      <c r="BX1150" s="1"/>
      <c r="BY1150" s="1"/>
      <c r="BZ1150" s="1"/>
      <c r="CA1150" s="1"/>
      <c r="CB1150" s="1"/>
      <c r="CC1150" s="1"/>
      <c r="CD1150" s="1"/>
      <c r="CE1150" s="1"/>
      <c r="CF1150" s="1"/>
    </row>
    <row r="1151" spans="1:84" s="3" customFormat="1" x14ac:dyDescent="0.2">
      <c r="A1151" s="17" t="s">
        <v>3921</v>
      </c>
      <c r="B1151" s="17" t="s">
        <v>45</v>
      </c>
      <c r="C1151" s="17">
        <v>2025</v>
      </c>
      <c r="D1151" s="17" t="str">
        <f t="array" ref="D1151">_xlfn.SWITCH(E1151,"Bagor","35.18.14","Sukomoro",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151" s="94" t="s">
        <v>124</v>
      </c>
      <c r="F1151" s="93" t="s">
        <v>2272</v>
      </c>
      <c r="G1151" s="93" t="s">
        <v>2566</v>
      </c>
      <c r="H1151" s="94" t="s">
        <v>31</v>
      </c>
      <c r="I1151" s="94">
        <v>0</v>
      </c>
      <c r="J1151" s="94">
        <v>5</v>
      </c>
      <c r="K1151" s="94">
        <f t="shared" si="21"/>
        <v>5</v>
      </c>
      <c r="L1151" s="95">
        <v>2000000</v>
      </c>
      <c r="M1151" s="96" t="s">
        <v>1367</v>
      </c>
      <c r="N1151" s="95">
        <f>5*25*12</f>
        <v>1500</v>
      </c>
      <c r="O1151" s="94" t="s">
        <v>1368</v>
      </c>
      <c r="P1151" s="97">
        <f>N1151*200000</f>
        <v>300000000</v>
      </c>
      <c r="Q1151" s="96" t="s">
        <v>1468</v>
      </c>
      <c r="R1151" s="98">
        <v>1000</v>
      </c>
      <c r="S1151" s="94" t="s">
        <v>1368</v>
      </c>
      <c r="T1151" s="97">
        <f>R1151*60000</f>
        <v>60000000</v>
      </c>
      <c r="U1151" s="94" t="s">
        <v>22</v>
      </c>
      <c r="V1151" s="94" t="s">
        <v>1370</v>
      </c>
      <c r="W1151" s="94">
        <v>850</v>
      </c>
      <c r="X1151" s="94" t="s">
        <v>1049</v>
      </c>
      <c r="Y1151" s="94">
        <v>100</v>
      </c>
      <c r="Z1151" s="94">
        <v>0</v>
      </c>
      <c r="AA1151" s="94">
        <v>0</v>
      </c>
      <c r="AB1151" s="94">
        <v>0</v>
      </c>
      <c r="AC1151" s="94"/>
      <c r="AE1151" s="1"/>
      <c r="AF1151" s="2"/>
      <c r="AG1151" s="1"/>
      <c r="AH1151" s="1"/>
      <c r="AI1151" s="1"/>
      <c r="AJ1151" s="1"/>
      <c r="AK1151" s="1"/>
      <c r="AL1151" s="1"/>
      <c r="AM1151" s="1"/>
      <c r="AN1151" s="1"/>
      <c r="AO1151" s="1"/>
      <c r="AP1151" s="1"/>
      <c r="AQ1151" s="1"/>
      <c r="AR1151" s="1"/>
      <c r="AS1151" s="1"/>
      <c r="AT1151" s="1"/>
      <c r="AU1151" s="1"/>
      <c r="AV1151" s="1"/>
      <c r="AW1151" s="1"/>
      <c r="AX1151" s="1"/>
      <c r="AY1151" s="1"/>
      <c r="AZ1151" s="1"/>
      <c r="BA1151" s="1"/>
      <c r="BB1151" s="1"/>
      <c r="BC1151" s="1"/>
      <c r="BD1151" s="1"/>
      <c r="BE1151" s="1"/>
      <c r="BF1151" s="1"/>
      <c r="BG1151" s="1"/>
      <c r="BH1151" s="1"/>
      <c r="BI1151" s="1"/>
      <c r="BJ1151" s="1"/>
      <c r="BK1151" s="1"/>
      <c r="BL1151" s="1"/>
      <c r="BM1151" s="1"/>
      <c r="BN1151" s="1"/>
      <c r="BO1151" s="1"/>
      <c r="BP1151" s="1"/>
      <c r="BQ1151" s="1"/>
      <c r="BR1151" s="1"/>
      <c r="BS1151" s="1"/>
      <c r="BT1151" s="1"/>
      <c r="BU1151" s="1"/>
      <c r="BV1151" s="1"/>
      <c r="BW1151" s="1"/>
      <c r="BX1151" s="1"/>
      <c r="BY1151" s="1"/>
      <c r="BZ1151" s="1"/>
      <c r="CA1151" s="1"/>
      <c r="CB1151" s="1"/>
      <c r="CC1151" s="1"/>
      <c r="CD1151" s="1"/>
      <c r="CE1151" s="1"/>
      <c r="CF1151" s="1"/>
    </row>
    <row r="1152" spans="1:84" s="3" customFormat="1" x14ac:dyDescent="0.2">
      <c r="A1152" s="17" t="s">
        <v>3921</v>
      </c>
      <c r="B1152" s="17" t="s">
        <v>45</v>
      </c>
      <c r="C1152" s="17">
        <v>2025</v>
      </c>
      <c r="D1152" s="17" t="str">
        <f t="array" ref="D1152">_xlfn.SWITCH(E1152,"Bagor","35.18.14","Sukomoro",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52" s="94" t="s">
        <v>45</v>
      </c>
      <c r="F1152" s="93" t="s">
        <v>2567</v>
      </c>
      <c r="G1152" s="93" t="s">
        <v>2568</v>
      </c>
      <c r="H1152" s="94" t="s">
        <v>31</v>
      </c>
      <c r="I1152" s="94">
        <v>1</v>
      </c>
      <c r="J1152" s="94">
        <v>5</v>
      </c>
      <c r="K1152" s="94">
        <f t="shared" si="21"/>
        <v>6</v>
      </c>
      <c r="L1152" s="95">
        <v>3000000</v>
      </c>
      <c r="M1152" s="96" t="s">
        <v>1367</v>
      </c>
      <c r="N1152" s="95">
        <v>1000</v>
      </c>
      <c r="O1152" s="94" t="s">
        <v>1368</v>
      </c>
      <c r="P1152" s="97">
        <f>N1152*225000</f>
        <v>225000000</v>
      </c>
      <c r="Q1152" s="96" t="s">
        <v>1468</v>
      </c>
      <c r="R1152" s="98">
        <v>900</v>
      </c>
      <c r="S1152" s="94" t="s">
        <v>1368</v>
      </c>
      <c r="T1152" s="97">
        <f>R1152*55000</f>
        <v>49500000</v>
      </c>
      <c r="U1152" s="94" t="s">
        <v>22</v>
      </c>
      <c r="V1152" s="94" t="s">
        <v>1370</v>
      </c>
      <c r="W1152" s="94">
        <v>550</v>
      </c>
      <c r="X1152" s="94" t="s">
        <v>1049</v>
      </c>
      <c r="Y1152" s="94">
        <v>100</v>
      </c>
      <c r="Z1152" s="94">
        <v>0</v>
      </c>
      <c r="AA1152" s="94">
        <v>0</v>
      </c>
      <c r="AB1152" s="94">
        <v>0</v>
      </c>
      <c r="AC1152" s="94"/>
      <c r="AE1152" s="1"/>
      <c r="AF1152" s="2"/>
      <c r="AG1152" s="1"/>
      <c r="AH1152" s="1"/>
      <c r="AI1152" s="1"/>
      <c r="AJ1152" s="1"/>
      <c r="AK1152" s="1"/>
      <c r="AL1152" s="1"/>
      <c r="AM1152" s="1"/>
      <c r="AN1152" s="1"/>
      <c r="AO1152" s="1"/>
      <c r="AP1152" s="1"/>
      <c r="AQ1152" s="1"/>
      <c r="AR1152" s="1"/>
      <c r="AS1152" s="1"/>
      <c r="AT1152" s="1"/>
      <c r="AU1152" s="1"/>
      <c r="AV1152" s="1"/>
      <c r="AW1152" s="1"/>
      <c r="AX1152" s="1"/>
      <c r="AY1152" s="1"/>
      <c r="AZ1152" s="1"/>
      <c r="BA1152" s="1"/>
      <c r="BB1152" s="1"/>
      <c r="BC1152" s="1"/>
      <c r="BD1152" s="1"/>
      <c r="BE1152" s="1"/>
      <c r="BF1152" s="1"/>
      <c r="BG1152" s="1"/>
      <c r="BH1152" s="1"/>
      <c r="BI1152" s="1"/>
      <c r="BJ1152" s="1"/>
      <c r="BK1152" s="1"/>
      <c r="BL1152" s="1"/>
      <c r="BM1152" s="1"/>
      <c r="BN1152" s="1"/>
      <c r="BO1152" s="1"/>
      <c r="BP1152" s="1"/>
      <c r="BQ1152" s="1"/>
      <c r="BR1152" s="1"/>
      <c r="BS1152" s="1"/>
      <c r="BT1152" s="1"/>
      <c r="BU1152" s="1"/>
      <c r="BV1152" s="1"/>
      <c r="BW1152" s="1"/>
      <c r="BX1152" s="1"/>
      <c r="BY1152" s="1"/>
      <c r="BZ1152" s="1"/>
      <c r="CA1152" s="1"/>
      <c r="CB1152" s="1"/>
      <c r="CC1152" s="1"/>
      <c r="CD1152" s="1"/>
      <c r="CE1152" s="1"/>
      <c r="CF1152" s="1"/>
    </row>
    <row r="1153" spans="1:84" s="3" customFormat="1" x14ac:dyDescent="0.2">
      <c r="A1153" s="17" t="s">
        <v>3921</v>
      </c>
      <c r="B1153" s="17" t="s">
        <v>45</v>
      </c>
      <c r="C1153" s="17">
        <v>2025</v>
      </c>
      <c r="D1153" s="17" t="str">
        <f t="array" ref="D1153">_xlfn.SWITCH(E1153,"Bagor","35.18.14","Sukomoro",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53" s="94" t="s">
        <v>45</v>
      </c>
      <c r="F1153" s="93"/>
      <c r="G1153" s="93" t="s">
        <v>2569</v>
      </c>
      <c r="H1153" s="94" t="s">
        <v>47</v>
      </c>
      <c r="I1153" s="94">
        <v>4</v>
      </c>
      <c r="J1153" s="94">
        <v>1</v>
      </c>
      <c r="K1153" s="94">
        <f t="shared" si="21"/>
        <v>5</v>
      </c>
      <c r="L1153" s="95">
        <v>10000000</v>
      </c>
      <c r="M1153" s="96" t="s">
        <v>1147</v>
      </c>
      <c r="N1153" s="95">
        <f>50*20*12</f>
        <v>12000</v>
      </c>
      <c r="O1153" s="94" t="s">
        <v>1049</v>
      </c>
      <c r="P1153" s="97">
        <f>N1153*20000</f>
        <v>240000000</v>
      </c>
      <c r="Q1153" s="96" t="s">
        <v>2570</v>
      </c>
      <c r="R1153" s="98">
        <v>1000</v>
      </c>
      <c r="S1153" s="94" t="s">
        <v>422</v>
      </c>
      <c r="T1153" s="97">
        <f>P1153/2</f>
        <v>120000000</v>
      </c>
      <c r="U1153" s="94" t="s">
        <v>22</v>
      </c>
      <c r="V1153" s="94"/>
      <c r="W1153" s="94"/>
      <c r="X1153" s="94"/>
      <c r="Y1153" s="94">
        <v>100</v>
      </c>
      <c r="Z1153" s="94">
        <v>0</v>
      </c>
      <c r="AA1153" s="94">
        <v>0</v>
      </c>
      <c r="AB1153" s="94">
        <v>0</v>
      </c>
      <c r="AC1153" s="94"/>
      <c r="AE1153" s="1"/>
      <c r="AF1153" s="2"/>
      <c r="AG1153" s="1"/>
      <c r="AH1153" s="1"/>
      <c r="AI1153" s="1"/>
      <c r="AJ1153" s="1"/>
      <c r="AK1153" s="1"/>
      <c r="AL1153" s="1"/>
      <c r="AM1153" s="1"/>
      <c r="AN1153" s="1"/>
      <c r="AO1153" s="1"/>
      <c r="AP1153" s="1"/>
      <c r="AQ1153" s="1"/>
      <c r="AR1153" s="1"/>
      <c r="AS1153" s="1"/>
      <c r="AT1153" s="1"/>
      <c r="AU1153" s="1"/>
      <c r="AV1153" s="1"/>
      <c r="AW1153" s="1"/>
      <c r="AX1153" s="1"/>
      <c r="AY1153" s="1"/>
      <c r="AZ1153" s="1"/>
      <c r="BA1153" s="1"/>
      <c r="BB1153" s="1"/>
      <c r="BC1153" s="1"/>
      <c r="BD1153" s="1"/>
      <c r="BE1153" s="1"/>
      <c r="BF1153" s="1"/>
      <c r="BG1153" s="1"/>
      <c r="BH1153" s="1"/>
      <c r="BI1153" s="1"/>
      <c r="BJ1153" s="1"/>
      <c r="BK1153" s="1"/>
      <c r="BL1153" s="1"/>
      <c r="BM1153" s="1"/>
      <c r="BN1153" s="1"/>
      <c r="BO1153" s="1"/>
      <c r="BP1153" s="1"/>
      <c r="BQ1153" s="1"/>
      <c r="BR1153" s="1"/>
      <c r="BS1153" s="1"/>
      <c r="BT1153" s="1"/>
      <c r="BU1153" s="1"/>
      <c r="BV1153" s="1"/>
      <c r="BW1153" s="1"/>
      <c r="BX1153" s="1"/>
      <c r="BY1153" s="1"/>
      <c r="BZ1153" s="1"/>
      <c r="CA1153" s="1"/>
      <c r="CB1153" s="1"/>
      <c r="CC1153" s="1"/>
      <c r="CD1153" s="1"/>
      <c r="CE1153" s="1"/>
      <c r="CF1153" s="1"/>
    </row>
    <row r="1154" spans="1:84" s="3" customFormat="1" x14ac:dyDescent="0.2">
      <c r="A1154" s="17" t="s">
        <v>3921</v>
      </c>
      <c r="B1154" s="17" t="s">
        <v>45</v>
      </c>
      <c r="C1154" s="17">
        <v>2025</v>
      </c>
      <c r="D1154" s="17" t="str">
        <f t="array" ref="D1154">_xlfn.SWITCH(E1154,"Bagor","35.18.14","Sukomoro",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54" s="94" t="s">
        <v>45</v>
      </c>
      <c r="F1154" s="93"/>
      <c r="G1154" s="93" t="s">
        <v>2571</v>
      </c>
      <c r="H1154" s="94" t="s">
        <v>47</v>
      </c>
      <c r="I1154" s="94">
        <v>1</v>
      </c>
      <c r="J1154" s="94">
        <v>4</v>
      </c>
      <c r="K1154" s="94">
        <f t="shared" ref="K1154:K1163" si="24">I1154+J1154</f>
        <v>5</v>
      </c>
      <c r="L1154" s="95">
        <v>12000000</v>
      </c>
      <c r="M1154" s="96" t="s">
        <v>2572</v>
      </c>
      <c r="N1154" s="95">
        <f>10*20*12</f>
        <v>2400</v>
      </c>
      <c r="O1154" s="94" t="s">
        <v>1398</v>
      </c>
      <c r="P1154" s="97">
        <f>N1154*50000</f>
        <v>120000000</v>
      </c>
      <c r="Q1154" s="96" t="s">
        <v>50</v>
      </c>
      <c r="R1154" s="98">
        <v>500</v>
      </c>
      <c r="S1154" s="94" t="s">
        <v>69</v>
      </c>
      <c r="T1154" s="97">
        <f>P1154/2</f>
        <v>60000000</v>
      </c>
      <c r="U1154" s="94" t="s">
        <v>22</v>
      </c>
      <c r="V1154" s="94"/>
      <c r="W1154" s="94"/>
      <c r="X1154" s="94"/>
      <c r="Y1154" s="94">
        <v>100</v>
      </c>
      <c r="Z1154" s="94">
        <v>0</v>
      </c>
      <c r="AA1154" s="94">
        <v>0</v>
      </c>
      <c r="AB1154" s="94">
        <v>0</v>
      </c>
      <c r="AC1154" s="94"/>
      <c r="AE1154" s="1"/>
      <c r="AF1154" s="2"/>
      <c r="AG1154" s="1"/>
      <c r="AH1154" s="1"/>
      <c r="AI1154" s="1"/>
      <c r="AJ1154" s="1"/>
      <c r="AK1154" s="1"/>
      <c r="AL1154" s="1"/>
      <c r="AM1154" s="1"/>
      <c r="AN1154" s="1"/>
      <c r="AO1154" s="1"/>
      <c r="AP1154" s="1"/>
      <c r="AQ1154" s="1"/>
      <c r="AR1154" s="1"/>
      <c r="AS1154" s="1"/>
      <c r="AT1154" s="1"/>
      <c r="AU1154" s="1"/>
      <c r="AV1154" s="1"/>
      <c r="AW1154" s="1"/>
      <c r="AX1154" s="1"/>
      <c r="AY1154" s="1"/>
      <c r="AZ1154" s="1"/>
      <c r="BA1154" s="1"/>
      <c r="BB1154" s="1"/>
      <c r="BC1154" s="1"/>
      <c r="BD1154" s="1"/>
      <c r="BE1154" s="1"/>
      <c r="BF1154" s="1"/>
      <c r="BG1154" s="1"/>
      <c r="BH1154" s="1"/>
      <c r="BI1154" s="1"/>
      <c r="BJ1154" s="1"/>
      <c r="BK1154" s="1"/>
      <c r="BL1154" s="1"/>
      <c r="BM1154" s="1"/>
      <c r="BN1154" s="1"/>
      <c r="BO1154" s="1"/>
      <c r="BP1154" s="1"/>
      <c r="BQ1154" s="1"/>
      <c r="BR1154" s="1"/>
      <c r="BS1154" s="1"/>
      <c r="BT1154" s="1"/>
      <c r="BU1154" s="1"/>
      <c r="BV1154" s="1"/>
      <c r="BW1154" s="1"/>
      <c r="BX1154" s="1"/>
      <c r="BY1154" s="1"/>
      <c r="BZ1154" s="1"/>
      <c r="CA1154" s="1"/>
      <c r="CB1154" s="1"/>
      <c r="CC1154" s="1"/>
      <c r="CD1154" s="1"/>
      <c r="CE1154" s="1"/>
      <c r="CF1154" s="1"/>
    </row>
    <row r="1155" spans="1:84" s="3" customFormat="1" x14ac:dyDescent="0.2">
      <c r="A1155" s="17" t="s">
        <v>3921</v>
      </c>
      <c r="B1155" s="17" t="s">
        <v>45</v>
      </c>
      <c r="C1155" s="17">
        <v>2025</v>
      </c>
      <c r="D1155" s="17" t="str">
        <f t="array" ref="D1155">_xlfn.SWITCH(E1155,"Jatikalen","35.18.20","Kertosono", "35.18.08","Lengkong","35.18.19","Loceret","35.18.04","Tanjunganom","35.18.11","Wilangan","35.18.15")</f>
        <v>35.18.15</v>
      </c>
      <c r="E1155" s="94" t="s">
        <v>1158</v>
      </c>
      <c r="F1155" s="93" t="s">
        <v>1158</v>
      </c>
      <c r="G1155" s="93" t="s">
        <v>2573</v>
      </c>
      <c r="H1155" s="94" t="s">
        <v>31</v>
      </c>
      <c r="I1155" s="94">
        <v>1</v>
      </c>
      <c r="J1155" s="94">
        <v>2</v>
      </c>
      <c r="K1155" s="94">
        <f t="shared" si="24"/>
        <v>3</v>
      </c>
      <c r="L1155" s="95">
        <v>1900000</v>
      </c>
      <c r="M1155" s="96" t="s">
        <v>1367</v>
      </c>
      <c r="N1155" s="95">
        <f>4*20*12</f>
        <v>960</v>
      </c>
      <c r="O1155" s="94" t="s">
        <v>1368</v>
      </c>
      <c r="P1155" s="97">
        <f>N1155*250000</f>
        <v>240000000</v>
      </c>
      <c r="Q1155" s="96" t="s">
        <v>1468</v>
      </c>
      <c r="R1155" s="98">
        <v>750</v>
      </c>
      <c r="S1155" s="94" t="s">
        <v>1368</v>
      </c>
      <c r="T1155" s="97">
        <f>R1155*65000</f>
        <v>48750000</v>
      </c>
      <c r="U1155" s="94" t="s">
        <v>22</v>
      </c>
      <c r="V1155" s="94" t="s">
        <v>1370</v>
      </c>
      <c r="W1155" s="94">
        <v>510</v>
      </c>
      <c r="X1155" s="94" t="s">
        <v>1049</v>
      </c>
      <c r="Y1155" s="94">
        <v>100</v>
      </c>
      <c r="Z1155" s="94">
        <v>0</v>
      </c>
      <c r="AA1155" s="94">
        <v>0</v>
      </c>
      <c r="AB1155" s="94">
        <v>0</v>
      </c>
      <c r="AC1155" s="94"/>
      <c r="AE1155" s="1"/>
      <c r="AF1155" s="2"/>
      <c r="AG1155" s="1"/>
      <c r="AH1155" s="1"/>
      <c r="AI1155" s="1"/>
      <c r="AJ1155" s="1"/>
      <c r="AK1155" s="1"/>
      <c r="AL1155" s="1"/>
      <c r="AM1155" s="1"/>
      <c r="AN1155" s="1"/>
      <c r="AO1155" s="1"/>
      <c r="AP1155" s="1"/>
      <c r="AQ1155" s="1"/>
      <c r="AR1155" s="1"/>
      <c r="AS1155" s="1"/>
      <c r="AT1155" s="1"/>
      <c r="AU1155" s="1"/>
      <c r="AV1155" s="1"/>
      <c r="AW1155" s="1"/>
      <c r="AX1155" s="1"/>
      <c r="AY1155" s="1"/>
      <c r="AZ1155" s="1"/>
      <c r="BA1155" s="1"/>
      <c r="BB1155" s="1"/>
      <c r="BC1155" s="1"/>
      <c r="BD1155" s="1"/>
      <c r="BE1155" s="1"/>
      <c r="BF1155" s="1"/>
      <c r="BG1155" s="1"/>
      <c r="BH1155" s="1"/>
      <c r="BI1155" s="1"/>
      <c r="BJ1155" s="1"/>
      <c r="BK1155" s="1"/>
      <c r="BL1155" s="1"/>
      <c r="BM1155" s="1"/>
      <c r="BN1155" s="1"/>
      <c r="BO1155" s="1"/>
      <c r="BP1155" s="1"/>
      <c r="BQ1155" s="1"/>
      <c r="BR1155" s="1"/>
      <c r="BS1155" s="1"/>
      <c r="BT1155" s="1"/>
      <c r="BU1155" s="1"/>
      <c r="BV1155" s="1"/>
      <c r="BW1155" s="1"/>
      <c r="BX1155" s="1"/>
      <c r="BY1155" s="1"/>
      <c r="BZ1155" s="1"/>
      <c r="CA1155" s="1"/>
      <c r="CB1155" s="1"/>
      <c r="CC1155" s="1"/>
      <c r="CD1155" s="1"/>
      <c r="CE1155" s="1"/>
      <c r="CF1155" s="1"/>
    </row>
    <row r="1156" spans="1:84" s="3" customFormat="1" x14ac:dyDescent="0.2">
      <c r="A1156" s="17" t="s">
        <v>3921</v>
      </c>
      <c r="B1156" s="17" t="s">
        <v>45</v>
      </c>
      <c r="C1156" s="17">
        <v>2025</v>
      </c>
      <c r="D1156" s="17" t="str">
        <f t="array" ref="D1156">_xlfn.SWITCH(E1156,"Bagor","35.18.14","Sukomoro",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1156" s="94" t="s">
        <v>785</v>
      </c>
      <c r="F1156" s="93" t="s">
        <v>785</v>
      </c>
      <c r="G1156" s="93" t="s">
        <v>2574</v>
      </c>
      <c r="H1156" s="94" t="s">
        <v>31</v>
      </c>
      <c r="I1156" s="94">
        <v>5</v>
      </c>
      <c r="J1156" s="94">
        <v>0</v>
      </c>
      <c r="K1156" s="94">
        <f t="shared" si="24"/>
        <v>5</v>
      </c>
      <c r="L1156" s="95">
        <v>50000000</v>
      </c>
      <c r="M1156" s="96" t="s">
        <v>2575</v>
      </c>
      <c r="N1156" s="95">
        <f>5*20*12</f>
        <v>1200</v>
      </c>
      <c r="O1156" s="94" t="s">
        <v>1398</v>
      </c>
      <c r="P1156" s="97">
        <f>N1156*100000</f>
        <v>120000000</v>
      </c>
      <c r="Q1156" s="96" t="s">
        <v>50</v>
      </c>
      <c r="R1156" s="98">
        <v>100</v>
      </c>
      <c r="S1156" s="94" t="s">
        <v>69</v>
      </c>
      <c r="T1156" s="97">
        <f>R1156*1000000</f>
        <v>100000000</v>
      </c>
      <c r="U1156" s="94" t="s">
        <v>22</v>
      </c>
      <c r="V1156" s="94"/>
      <c r="W1156" s="94"/>
      <c r="X1156" s="94"/>
      <c r="Y1156" s="94">
        <v>100</v>
      </c>
      <c r="Z1156" s="94">
        <v>0</v>
      </c>
      <c r="AA1156" s="94">
        <v>0</v>
      </c>
      <c r="AB1156" s="94">
        <v>0</v>
      </c>
      <c r="AC1156" s="94"/>
      <c r="AE1156" s="1"/>
      <c r="AF1156" s="2"/>
      <c r="AG1156" s="1"/>
      <c r="AH1156" s="1"/>
      <c r="AI1156" s="1"/>
      <c r="AJ1156" s="1"/>
      <c r="AK1156" s="1"/>
      <c r="AL1156" s="1"/>
      <c r="AM1156" s="1"/>
      <c r="AN1156" s="1"/>
      <c r="AO1156" s="1"/>
      <c r="AP1156" s="1"/>
      <c r="AQ1156" s="1"/>
      <c r="AR1156" s="1"/>
      <c r="AS1156" s="1"/>
      <c r="AT1156" s="1"/>
      <c r="AU1156" s="1"/>
      <c r="AV1156" s="1"/>
      <c r="AW1156" s="1"/>
      <c r="AX1156" s="1"/>
      <c r="AY1156" s="1"/>
      <c r="AZ1156" s="1"/>
      <c r="BA1156" s="1"/>
      <c r="BB1156" s="1"/>
      <c r="BC1156" s="1"/>
      <c r="BD1156" s="1"/>
      <c r="BE1156" s="1"/>
      <c r="BF1156" s="1"/>
      <c r="BG1156" s="1"/>
      <c r="BH1156" s="1"/>
      <c r="BI1156" s="1"/>
      <c r="BJ1156" s="1"/>
      <c r="BK1156" s="1"/>
      <c r="BL1156" s="1"/>
      <c r="BM1156" s="1"/>
      <c r="BN1156" s="1"/>
      <c r="BO1156" s="1"/>
      <c r="BP1156" s="1"/>
      <c r="BQ1156" s="1"/>
      <c r="BR1156" s="1"/>
      <c r="BS1156" s="1"/>
      <c r="BT1156" s="1"/>
      <c r="BU1156" s="1"/>
      <c r="BV1156" s="1"/>
      <c r="BW1156" s="1"/>
      <c r="BX1156" s="1"/>
      <c r="BY1156" s="1"/>
      <c r="BZ1156" s="1"/>
      <c r="CA1156" s="1"/>
      <c r="CB1156" s="1"/>
      <c r="CC1156" s="1"/>
      <c r="CD1156" s="1"/>
      <c r="CE1156" s="1"/>
      <c r="CF1156" s="1"/>
    </row>
    <row r="1157" spans="1:84" s="3" customFormat="1" x14ac:dyDescent="0.2">
      <c r="A1157" s="17" t="s">
        <v>3921</v>
      </c>
      <c r="B1157" s="17" t="s">
        <v>45</v>
      </c>
      <c r="C1157" s="17">
        <v>2025</v>
      </c>
      <c r="D1157" s="17" t="str">
        <f t="array" ref="D1157">_xlfn.SWITCH(E1157,"Bagor","35.18.14","Sukomoro",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57" s="94" t="s">
        <v>45</v>
      </c>
      <c r="F1157" s="93" t="s">
        <v>2576</v>
      </c>
      <c r="G1157" s="93" t="s">
        <v>2577</v>
      </c>
      <c r="H1157" s="94" t="s">
        <v>31</v>
      </c>
      <c r="I1157" s="94">
        <v>1</v>
      </c>
      <c r="J1157" s="94">
        <v>3</v>
      </c>
      <c r="K1157" s="94">
        <f t="shared" si="24"/>
        <v>4</v>
      </c>
      <c r="L1157" s="95">
        <v>35000000</v>
      </c>
      <c r="M1157" s="96" t="s">
        <v>2578</v>
      </c>
      <c r="N1157" s="95">
        <f>20*20*12</f>
        <v>4800</v>
      </c>
      <c r="O1157" s="94" t="s">
        <v>422</v>
      </c>
      <c r="P1157" s="97">
        <f>N1157*35000</f>
        <v>168000000</v>
      </c>
      <c r="Q1157" s="96" t="s">
        <v>2434</v>
      </c>
      <c r="R1157" s="98">
        <v>8000</v>
      </c>
      <c r="S1157" s="94" t="s">
        <v>422</v>
      </c>
      <c r="T1157" s="97">
        <f>R1157*10000</f>
        <v>80000000</v>
      </c>
      <c r="U1157" s="94" t="s">
        <v>22</v>
      </c>
      <c r="V1157" s="94" t="s">
        <v>2579</v>
      </c>
      <c r="W1157" s="94">
        <v>75</v>
      </c>
      <c r="X1157" s="94" t="s">
        <v>422</v>
      </c>
      <c r="Y1157" s="94">
        <v>100</v>
      </c>
      <c r="Z1157" s="94">
        <v>0</v>
      </c>
      <c r="AA1157" s="94">
        <v>0</v>
      </c>
      <c r="AB1157" s="94">
        <v>0</v>
      </c>
      <c r="AC1157" s="94"/>
      <c r="AE1157" s="1"/>
      <c r="AF1157" s="2"/>
      <c r="AG1157" s="1"/>
      <c r="AH1157" s="1"/>
      <c r="AI1157" s="1"/>
      <c r="AJ1157" s="1"/>
      <c r="AK1157" s="1"/>
      <c r="AL1157" s="1"/>
      <c r="AM1157" s="1"/>
      <c r="AN1157" s="1"/>
      <c r="AO1157" s="1"/>
      <c r="AP1157" s="1"/>
      <c r="AQ1157" s="1"/>
      <c r="AR1157" s="1"/>
      <c r="AS1157" s="1"/>
      <c r="AT1157" s="1"/>
      <c r="AU1157" s="1"/>
      <c r="AV1157" s="1"/>
      <c r="AW1157" s="1"/>
      <c r="AX1157" s="1"/>
      <c r="AY1157" s="1"/>
      <c r="AZ1157" s="1"/>
      <c r="BA1157" s="1"/>
      <c r="BB1157" s="1"/>
      <c r="BC1157" s="1"/>
      <c r="BD1157" s="1"/>
      <c r="BE1157" s="1"/>
      <c r="BF1157" s="1"/>
      <c r="BG1157" s="1"/>
      <c r="BH1157" s="1"/>
      <c r="BI1157" s="1"/>
      <c r="BJ1157" s="1"/>
      <c r="BK1157" s="1"/>
      <c r="BL1157" s="1"/>
      <c r="BM1157" s="1"/>
      <c r="BN1157" s="1"/>
      <c r="BO1157" s="1"/>
      <c r="BP1157" s="1"/>
      <c r="BQ1157" s="1"/>
      <c r="BR1157" s="1"/>
      <c r="BS1157" s="1"/>
      <c r="BT1157" s="1"/>
      <c r="BU1157" s="1"/>
      <c r="BV1157" s="1"/>
      <c r="BW1157" s="1"/>
      <c r="BX1157" s="1"/>
      <c r="BY1157" s="1"/>
      <c r="BZ1157" s="1"/>
      <c r="CA1157" s="1"/>
      <c r="CB1157" s="1"/>
      <c r="CC1157" s="1"/>
      <c r="CD1157" s="1"/>
      <c r="CE1157" s="1"/>
      <c r="CF1157" s="1"/>
    </row>
    <row r="1158" spans="1:84" s="3" customFormat="1" x14ac:dyDescent="0.2">
      <c r="A1158" s="17" t="s">
        <v>3921</v>
      </c>
      <c r="B1158" s="17" t="s">
        <v>45</v>
      </c>
      <c r="C1158" s="17">
        <v>2025</v>
      </c>
      <c r="D1158" s="17" t="str">
        <f t="array" ref="D1158">_xlfn.SWITCH(E1158,"Jatikalen","35.18.20","Kertosono", "35.18.08","Lengkong","35.18.19","Loceret","35.18.04","Tanjunganom","35.18.11","Wilangan","35.18.15")</f>
        <v>35.18.19</v>
      </c>
      <c r="E1158" s="94" t="s">
        <v>64</v>
      </c>
      <c r="F1158" s="93" t="s">
        <v>2580</v>
      </c>
      <c r="G1158" s="93" t="s">
        <v>2581</v>
      </c>
      <c r="H1158" s="94" t="s">
        <v>31</v>
      </c>
      <c r="I1158" s="94">
        <v>1</v>
      </c>
      <c r="J1158" s="94">
        <v>2</v>
      </c>
      <c r="K1158" s="94">
        <f t="shared" si="24"/>
        <v>3</v>
      </c>
      <c r="L1158" s="95">
        <v>1500000</v>
      </c>
      <c r="M1158" s="96" t="s">
        <v>2582</v>
      </c>
      <c r="N1158" s="95">
        <f>10*20*12</f>
        <v>2400</v>
      </c>
      <c r="O1158" s="94" t="s">
        <v>1398</v>
      </c>
      <c r="P1158" s="97">
        <f>N1158*25000</f>
        <v>60000000</v>
      </c>
      <c r="Q1158" s="96" t="s">
        <v>2583</v>
      </c>
      <c r="R1158" s="98">
        <v>1000</v>
      </c>
      <c r="S1158" s="94" t="s">
        <v>1368</v>
      </c>
      <c r="T1158" s="97">
        <f>R1158*4500</f>
        <v>4500000</v>
      </c>
      <c r="U1158" s="94" t="s">
        <v>22</v>
      </c>
      <c r="V1158" s="94"/>
      <c r="W1158" s="94"/>
      <c r="X1158" s="94"/>
      <c r="Y1158" s="94">
        <v>100</v>
      </c>
      <c r="Z1158" s="94">
        <v>0</v>
      </c>
      <c r="AA1158" s="94">
        <v>0</v>
      </c>
      <c r="AB1158" s="94">
        <v>0</v>
      </c>
      <c r="AC1158" s="94"/>
      <c r="AE1158" s="1"/>
      <c r="AF1158" s="2"/>
      <c r="AG1158" s="1"/>
      <c r="AH1158" s="1"/>
      <c r="AI1158" s="1"/>
      <c r="AJ1158" s="1"/>
      <c r="AK1158" s="1"/>
      <c r="AL1158" s="1"/>
      <c r="AM1158" s="1"/>
      <c r="AN1158" s="1"/>
      <c r="AO1158" s="1"/>
      <c r="AP1158" s="1"/>
      <c r="AQ1158" s="1"/>
      <c r="AR1158" s="1"/>
      <c r="AS1158" s="1"/>
      <c r="AT1158" s="1"/>
      <c r="AU1158" s="1"/>
      <c r="AV1158" s="1"/>
      <c r="AW1158" s="1"/>
      <c r="AX1158" s="1"/>
      <c r="AY1158" s="1"/>
      <c r="AZ1158" s="1"/>
      <c r="BA1158" s="1"/>
      <c r="BB1158" s="1"/>
      <c r="BC1158" s="1"/>
      <c r="BD1158" s="1"/>
      <c r="BE1158" s="1"/>
      <c r="BF1158" s="1"/>
      <c r="BG1158" s="1"/>
      <c r="BH1158" s="1"/>
      <c r="BI1158" s="1"/>
      <c r="BJ1158" s="1"/>
      <c r="BK1158" s="1"/>
      <c r="BL1158" s="1"/>
      <c r="BM1158" s="1"/>
      <c r="BN1158" s="1"/>
      <c r="BO1158" s="1"/>
      <c r="BP1158" s="1"/>
      <c r="BQ1158" s="1"/>
      <c r="BR1158" s="1"/>
      <c r="BS1158" s="1"/>
      <c r="BT1158" s="1"/>
      <c r="BU1158" s="1"/>
      <c r="BV1158" s="1"/>
      <c r="BW1158" s="1"/>
      <c r="BX1158" s="1"/>
      <c r="BY1158" s="1"/>
      <c r="BZ1158" s="1"/>
      <c r="CA1158" s="1"/>
      <c r="CB1158" s="1"/>
      <c r="CC1158" s="1"/>
      <c r="CD1158" s="1"/>
      <c r="CE1158" s="1"/>
      <c r="CF1158" s="1"/>
    </row>
    <row r="1159" spans="1:84" s="3" customFormat="1" x14ac:dyDescent="0.2">
      <c r="A1159" s="17" t="s">
        <v>3921</v>
      </c>
      <c r="B1159" s="17" t="s">
        <v>45</v>
      </c>
      <c r="C1159" s="17">
        <v>2025</v>
      </c>
      <c r="D1159" s="17" t="str">
        <f t="array" ref="D1159">_xlfn.SWITCH(E1159,"Jatikalen","35.18.20","Kertosono", "35.18.08","Lengkong","35.18.19","Loceret","35.18.04","Tanjunganom","35.18.11","Wilangan","35.18.15")</f>
        <v>35.18.04</v>
      </c>
      <c r="E1159" s="94" t="s">
        <v>41</v>
      </c>
      <c r="F1159" s="93" t="s">
        <v>2584</v>
      </c>
      <c r="G1159" s="93" t="s">
        <v>2585</v>
      </c>
      <c r="H1159" s="94" t="s">
        <v>31</v>
      </c>
      <c r="I1159" s="94">
        <v>2</v>
      </c>
      <c r="J1159" s="94">
        <v>3</v>
      </c>
      <c r="K1159" s="94">
        <f t="shared" si="24"/>
        <v>5</v>
      </c>
      <c r="L1159" s="95">
        <v>100000000</v>
      </c>
      <c r="M1159" s="96" t="s">
        <v>2586</v>
      </c>
      <c r="N1159" s="95">
        <f>15*25*12</f>
        <v>4500</v>
      </c>
      <c r="O1159" s="94" t="s">
        <v>422</v>
      </c>
      <c r="P1159" s="97">
        <v>60000000</v>
      </c>
      <c r="Q1159" s="96" t="s">
        <v>2587</v>
      </c>
      <c r="R1159" s="98">
        <v>2000</v>
      </c>
      <c r="S1159" s="94" t="s">
        <v>422</v>
      </c>
      <c r="T1159" s="97">
        <f>R1159*22000</f>
        <v>44000000</v>
      </c>
      <c r="U1159" s="94" t="s">
        <v>22</v>
      </c>
      <c r="V1159" s="94" t="s">
        <v>2579</v>
      </c>
      <c r="W1159" s="94">
        <v>75</v>
      </c>
      <c r="X1159" s="94" t="s">
        <v>422</v>
      </c>
      <c r="Y1159" s="94">
        <v>80</v>
      </c>
      <c r="Z1159" s="94">
        <v>20</v>
      </c>
      <c r="AA1159" s="94">
        <v>0</v>
      </c>
      <c r="AB1159" s="94">
        <v>0</v>
      </c>
      <c r="AC1159" s="94"/>
      <c r="AE1159" s="1"/>
      <c r="AF1159" s="2"/>
      <c r="AG1159" s="1"/>
      <c r="AH1159" s="1"/>
      <c r="AI1159" s="1"/>
      <c r="AJ1159" s="1"/>
      <c r="AK1159" s="1"/>
      <c r="AL1159" s="1"/>
      <c r="AM1159" s="1"/>
      <c r="AN1159" s="1"/>
      <c r="AO1159" s="1"/>
      <c r="AP1159" s="1"/>
      <c r="AQ1159" s="1"/>
      <c r="AR1159" s="1"/>
      <c r="AS1159" s="1"/>
      <c r="AT1159" s="1"/>
      <c r="AU1159" s="1"/>
      <c r="AV1159" s="1"/>
      <c r="AW1159" s="1"/>
      <c r="AX1159" s="1"/>
      <c r="AY1159" s="1"/>
      <c r="AZ1159" s="1"/>
      <c r="BA1159" s="1"/>
      <c r="BB1159" s="1"/>
      <c r="BC1159" s="1"/>
      <c r="BD1159" s="1"/>
      <c r="BE1159" s="1"/>
      <c r="BF1159" s="1"/>
      <c r="BG1159" s="1"/>
      <c r="BH1159" s="1"/>
      <c r="BI1159" s="1"/>
      <c r="BJ1159" s="1"/>
      <c r="BK1159" s="1"/>
      <c r="BL1159" s="1"/>
      <c r="BM1159" s="1"/>
      <c r="BN1159" s="1"/>
      <c r="BO1159" s="1"/>
      <c r="BP1159" s="1"/>
      <c r="BQ1159" s="1"/>
      <c r="BR1159" s="1"/>
      <c r="BS1159" s="1"/>
      <c r="BT1159" s="1"/>
      <c r="BU1159" s="1"/>
      <c r="BV1159" s="1"/>
      <c r="BW1159" s="1"/>
      <c r="BX1159" s="1"/>
      <c r="BY1159" s="1"/>
      <c r="BZ1159" s="1"/>
      <c r="CA1159" s="1"/>
      <c r="CB1159" s="1"/>
      <c r="CC1159" s="1"/>
      <c r="CD1159" s="1"/>
      <c r="CE1159" s="1"/>
      <c r="CF1159" s="1"/>
    </row>
    <row r="1160" spans="1:84" s="3" customFormat="1" ht="20" x14ac:dyDescent="0.2">
      <c r="A1160" s="17" t="s">
        <v>3921</v>
      </c>
      <c r="B1160" s="17" t="s">
        <v>45</v>
      </c>
      <c r="C1160" s="17">
        <v>2025</v>
      </c>
      <c r="D1160" s="17" t="str">
        <f t="array" ref="D1160">_xlfn.SWITCH(E1160,"Bagor","35.18.14","Sukomoro",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160" s="94" t="s">
        <v>71</v>
      </c>
      <c r="F1160" s="93" t="s">
        <v>1705</v>
      </c>
      <c r="G1160" s="93" t="s">
        <v>2588</v>
      </c>
      <c r="H1160" s="94" t="s">
        <v>31</v>
      </c>
      <c r="I1160" s="94">
        <v>2</v>
      </c>
      <c r="J1160" s="94">
        <v>1</v>
      </c>
      <c r="K1160" s="94">
        <f t="shared" si="24"/>
        <v>3</v>
      </c>
      <c r="L1160" s="95">
        <v>8000000</v>
      </c>
      <c r="M1160" s="96" t="s">
        <v>1634</v>
      </c>
      <c r="N1160" s="95">
        <v>5000</v>
      </c>
      <c r="O1160" s="94" t="s">
        <v>1049</v>
      </c>
      <c r="P1160" s="97">
        <f>N1160*25000</f>
        <v>125000000</v>
      </c>
      <c r="Q1160" s="96" t="s">
        <v>1635</v>
      </c>
      <c r="R1160" s="98">
        <v>500</v>
      </c>
      <c r="S1160" s="94" t="s">
        <v>422</v>
      </c>
      <c r="T1160" s="97">
        <f>R1160*5000</f>
        <v>2500000</v>
      </c>
      <c r="U1160" s="94" t="s">
        <v>22</v>
      </c>
      <c r="V1160" s="94" t="s">
        <v>57</v>
      </c>
      <c r="W1160" s="94">
        <v>300</v>
      </c>
      <c r="X1160" s="94" t="s">
        <v>69</v>
      </c>
      <c r="Y1160" s="94">
        <v>100</v>
      </c>
      <c r="Z1160" s="94">
        <v>0</v>
      </c>
      <c r="AA1160" s="94">
        <v>0</v>
      </c>
      <c r="AB1160" s="94">
        <v>0</v>
      </c>
      <c r="AC1160" s="94"/>
      <c r="AE1160" s="1"/>
      <c r="AF1160" s="2"/>
      <c r="AG1160" s="1"/>
      <c r="AH1160" s="1"/>
      <c r="AI1160" s="1"/>
      <c r="AJ1160" s="1"/>
      <c r="AK1160" s="1"/>
      <c r="AL1160" s="1"/>
      <c r="AM1160" s="1"/>
      <c r="AN1160" s="1"/>
      <c r="AO1160" s="1"/>
      <c r="AP1160" s="1"/>
      <c r="AQ1160" s="1"/>
      <c r="AR1160" s="1"/>
      <c r="AS1160" s="1"/>
      <c r="AT1160" s="1"/>
      <c r="AU1160" s="1"/>
      <c r="AV1160" s="1"/>
      <c r="AW1160" s="1"/>
      <c r="AX1160" s="1"/>
      <c r="AY1160" s="1"/>
      <c r="AZ1160" s="1"/>
      <c r="BA1160" s="1"/>
      <c r="BB1160" s="1"/>
      <c r="BC1160" s="1"/>
      <c r="BD1160" s="1"/>
      <c r="BE1160" s="1"/>
      <c r="BF1160" s="1"/>
      <c r="BG1160" s="1"/>
      <c r="BH1160" s="1"/>
      <c r="BI1160" s="1"/>
      <c r="BJ1160" s="1"/>
      <c r="BK1160" s="1"/>
      <c r="BL1160" s="1"/>
      <c r="BM1160" s="1"/>
      <c r="BN1160" s="1"/>
      <c r="BO1160" s="1"/>
      <c r="BP1160" s="1"/>
      <c r="BQ1160" s="1"/>
      <c r="BR1160" s="1"/>
      <c r="BS1160" s="1"/>
      <c r="BT1160" s="1"/>
      <c r="BU1160" s="1"/>
      <c r="BV1160" s="1"/>
      <c r="BW1160" s="1"/>
      <c r="BX1160" s="1"/>
      <c r="BY1160" s="1"/>
      <c r="BZ1160" s="1"/>
      <c r="CA1160" s="1"/>
      <c r="CB1160" s="1"/>
      <c r="CC1160" s="1"/>
      <c r="CD1160" s="1"/>
      <c r="CE1160" s="1"/>
      <c r="CF1160" s="1"/>
    </row>
    <row r="1161" spans="1:84" s="3" customFormat="1" ht="20" x14ac:dyDescent="0.2">
      <c r="A1161" s="17" t="s">
        <v>3921</v>
      </c>
      <c r="B1161" s="17" t="s">
        <v>45</v>
      </c>
      <c r="C1161" s="17">
        <v>2025</v>
      </c>
      <c r="D1161" s="17" t="str">
        <f t="array" ref="D1161">_xlfn.SWITCH(E1161,"Bagor","35.18.14","Sukomoro",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161" s="94" t="s">
        <v>157</v>
      </c>
      <c r="F1161" s="93" t="s">
        <v>2589</v>
      </c>
      <c r="G1161" s="93" t="s">
        <v>2590</v>
      </c>
      <c r="H1161" s="94" t="s">
        <v>31</v>
      </c>
      <c r="I1161" s="94">
        <v>0</v>
      </c>
      <c r="J1161" s="94">
        <v>3</v>
      </c>
      <c r="K1161" s="94">
        <f t="shared" si="24"/>
        <v>3</v>
      </c>
      <c r="L1161" s="95">
        <v>10000000</v>
      </c>
      <c r="M1161" s="96" t="s">
        <v>2591</v>
      </c>
      <c r="N1161" s="95">
        <f>20*25*12</f>
        <v>6000</v>
      </c>
      <c r="O1161" s="94" t="s">
        <v>1398</v>
      </c>
      <c r="P1161" s="97">
        <f>N1161*30000</f>
        <v>180000000</v>
      </c>
      <c r="Q1161" s="96" t="s">
        <v>1468</v>
      </c>
      <c r="R1161" s="98">
        <v>5000</v>
      </c>
      <c r="S1161" s="94" t="s">
        <v>1368</v>
      </c>
      <c r="T1161" s="97">
        <f>R1161*8000</f>
        <v>40000000</v>
      </c>
      <c r="U1161" s="94" t="s">
        <v>22</v>
      </c>
      <c r="V1161" s="94"/>
      <c r="W1161" s="94"/>
      <c r="X1161" s="94"/>
      <c r="Y1161" s="94">
        <v>100</v>
      </c>
      <c r="Z1161" s="94">
        <v>0</v>
      </c>
      <c r="AA1161" s="94">
        <v>0</v>
      </c>
      <c r="AB1161" s="94">
        <v>0</v>
      </c>
      <c r="AC1161" s="94"/>
      <c r="AE1161" s="1"/>
      <c r="AF1161" s="2"/>
      <c r="AG1161" s="1"/>
      <c r="AH1161" s="1"/>
      <c r="AI1161" s="1"/>
      <c r="AJ1161" s="1"/>
      <c r="AK1161" s="1"/>
      <c r="AL1161" s="1"/>
      <c r="AM1161" s="1"/>
      <c r="AN1161" s="1"/>
      <c r="AO1161" s="1"/>
      <c r="AP1161" s="1"/>
      <c r="AQ1161" s="1"/>
      <c r="AR1161" s="1"/>
      <c r="AS1161" s="1"/>
      <c r="AT1161" s="1"/>
      <c r="AU1161" s="1"/>
      <c r="AV1161" s="1"/>
      <c r="AW1161" s="1"/>
      <c r="AX1161" s="1"/>
      <c r="AY1161" s="1"/>
      <c r="AZ1161" s="1"/>
      <c r="BA1161" s="1"/>
      <c r="BB1161" s="1"/>
      <c r="BC1161" s="1"/>
      <c r="BD1161" s="1"/>
      <c r="BE1161" s="1"/>
      <c r="BF1161" s="1"/>
      <c r="BG1161" s="1"/>
      <c r="BH1161" s="1"/>
      <c r="BI1161" s="1"/>
      <c r="BJ1161" s="1"/>
      <c r="BK1161" s="1"/>
      <c r="BL1161" s="1"/>
      <c r="BM1161" s="1"/>
      <c r="BN1161" s="1"/>
      <c r="BO1161" s="1"/>
      <c r="BP1161" s="1"/>
      <c r="BQ1161" s="1"/>
      <c r="BR1161" s="1"/>
      <c r="BS1161" s="1"/>
      <c r="BT1161" s="1"/>
      <c r="BU1161" s="1"/>
      <c r="BV1161" s="1"/>
      <c r="BW1161" s="1"/>
      <c r="BX1161" s="1"/>
      <c r="BY1161" s="1"/>
      <c r="BZ1161" s="1"/>
      <c r="CA1161" s="1"/>
      <c r="CB1161" s="1"/>
      <c r="CC1161" s="1"/>
      <c r="CD1161" s="1"/>
      <c r="CE1161" s="1"/>
      <c r="CF1161" s="1"/>
    </row>
    <row r="1162" spans="1:84" s="3" customFormat="1" ht="20" x14ac:dyDescent="0.2">
      <c r="A1162" s="17" t="s">
        <v>3921</v>
      </c>
      <c r="B1162" s="17" t="s">
        <v>45</v>
      </c>
      <c r="C1162" s="17">
        <v>2025</v>
      </c>
      <c r="D1162" s="17" t="str">
        <f t="array" ref="D1162">_xlfn.SWITCH(E1162,"Jatikalen","35.18.20","Kertosono", "35.18.08","Lengkong","35.18.19","Loceret","35.18.04","Tanjunganom","35.18.11","Wilangan","35.18.15")</f>
        <v>35.18.04</v>
      </c>
      <c r="E1162" s="94" t="s">
        <v>41</v>
      </c>
      <c r="F1162" s="93" t="s">
        <v>2592</v>
      </c>
      <c r="G1162" s="93" t="s">
        <v>2593</v>
      </c>
      <c r="H1162" s="94" t="s">
        <v>31</v>
      </c>
      <c r="I1162" s="94">
        <v>1</v>
      </c>
      <c r="J1162" s="94">
        <v>4</v>
      </c>
      <c r="K1162" s="94">
        <f t="shared" si="24"/>
        <v>5</v>
      </c>
      <c r="L1162" s="95">
        <v>25000000</v>
      </c>
      <c r="M1162" s="96" t="s">
        <v>2594</v>
      </c>
      <c r="N1162" s="95">
        <f>20*20*12</f>
        <v>4800</v>
      </c>
      <c r="O1162" s="94" t="s">
        <v>422</v>
      </c>
      <c r="P1162" s="97">
        <f>N1162*30000</f>
        <v>144000000</v>
      </c>
      <c r="Q1162" s="96" t="s">
        <v>2594</v>
      </c>
      <c r="R1162" s="98">
        <v>3000</v>
      </c>
      <c r="S1162" s="94" t="s">
        <v>422</v>
      </c>
      <c r="T1162" s="97">
        <f>R1162*25000</f>
        <v>75000000</v>
      </c>
      <c r="U1162" s="94" t="s">
        <v>2595</v>
      </c>
      <c r="V1162" s="94"/>
      <c r="W1162" s="94"/>
      <c r="X1162" s="94"/>
      <c r="Y1162" s="94">
        <v>100</v>
      </c>
      <c r="Z1162" s="94">
        <v>0</v>
      </c>
      <c r="AA1162" s="94">
        <v>0</v>
      </c>
      <c r="AB1162" s="94">
        <v>0</v>
      </c>
      <c r="AC1162" s="94"/>
      <c r="AE1162" s="1"/>
      <c r="AF1162" s="2"/>
      <c r="AG1162" s="1"/>
      <c r="AH1162" s="1"/>
      <c r="AI1162" s="1"/>
      <c r="AJ1162" s="1"/>
      <c r="AK1162" s="1"/>
      <c r="AL1162" s="1"/>
      <c r="AM1162" s="1"/>
      <c r="AN1162" s="1"/>
      <c r="AO1162" s="1"/>
      <c r="AP1162" s="1"/>
      <c r="AQ1162" s="1"/>
      <c r="AR1162" s="1"/>
      <c r="AS1162" s="1"/>
      <c r="AT1162" s="1"/>
      <c r="AU1162" s="1"/>
      <c r="AV1162" s="1"/>
      <c r="AW1162" s="1"/>
      <c r="AX1162" s="1"/>
      <c r="AY1162" s="1"/>
      <c r="AZ1162" s="1"/>
      <c r="BA1162" s="1"/>
      <c r="BB1162" s="1"/>
      <c r="BC1162" s="1"/>
      <c r="BD1162" s="1"/>
      <c r="BE1162" s="1"/>
      <c r="BF1162" s="1"/>
      <c r="BG1162" s="1"/>
      <c r="BH1162" s="1"/>
      <c r="BI1162" s="1"/>
      <c r="BJ1162" s="1"/>
      <c r="BK1162" s="1"/>
      <c r="BL1162" s="1"/>
      <c r="BM1162" s="1"/>
      <c r="BN1162" s="1"/>
      <c r="BO1162" s="1"/>
      <c r="BP1162" s="1"/>
      <c r="BQ1162" s="1"/>
      <c r="BR1162" s="1"/>
      <c r="BS1162" s="1"/>
      <c r="BT1162" s="1"/>
      <c r="BU1162" s="1"/>
      <c r="BV1162" s="1"/>
      <c r="BW1162" s="1"/>
      <c r="BX1162" s="1"/>
      <c r="BY1162" s="1"/>
      <c r="BZ1162" s="1"/>
      <c r="CA1162" s="1"/>
      <c r="CB1162" s="1"/>
      <c r="CC1162" s="1"/>
      <c r="CD1162" s="1"/>
      <c r="CE1162" s="1"/>
      <c r="CF1162" s="1"/>
    </row>
    <row r="1163" spans="1:84" s="3" customFormat="1" ht="20" x14ac:dyDescent="0.2">
      <c r="A1163" s="17" t="s">
        <v>3921</v>
      </c>
      <c r="B1163" s="17" t="s">
        <v>45</v>
      </c>
      <c r="C1163" s="17">
        <v>2025</v>
      </c>
      <c r="D1163" s="17" t="str">
        <f t="array" ref="D1163">_xlfn.SWITCH(E1163,"Bagor","35.18.14","Sukomoro",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63" s="94" t="s">
        <v>140</v>
      </c>
      <c r="F1163" s="93" t="s">
        <v>2596</v>
      </c>
      <c r="G1163" s="93" t="s">
        <v>2597</v>
      </c>
      <c r="H1163" s="94" t="s">
        <v>31</v>
      </c>
      <c r="I1163" s="94">
        <v>1</v>
      </c>
      <c r="J1163" s="94">
        <v>2</v>
      </c>
      <c r="K1163" s="94">
        <f t="shared" si="24"/>
        <v>3</v>
      </c>
      <c r="L1163" s="95">
        <v>5000000</v>
      </c>
      <c r="M1163" s="96" t="s">
        <v>2598</v>
      </c>
      <c r="N1163" s="95">
        <f>8*25*12</f>
        <v>2400</v>
      </c>
      <c r="O1163" s="94" t="s">
        <v>422</v>
      </c>
      <c r="P1163" s="97">
        <f>N1163*30000</f>
        <v>72000000</v>
      </c>
      <c r="Q1163" s="96" t="s">
        <v>2599</v>
      </c>
      <c r="R1163" s="98">
        <v>2000</v>
      </c>
      <c r="S1163" s="94" t="s">
        <v>422</v>
      </c>
      <c r="T1163" s="97">
        <f>R1163*11000</f>
        <v>22000000</v>
      </c>
      <c r="U1163" s="94" t="s">
        <v>22</v>
      </c>
      <c r="V1163" s="94"/>
      <c r="W1163" s="94"/>
      <c r="X1163" s="94"/>
      <c r="Y1163" s="94">
        <v>100</v>
      </c>
      <c r="Z1163" s="94">
        <v>0</v>
      </c>
      <c r="AA1163" s="94">
        <v>0</v>
      </c>
      <c r="AB1163" s="94">
        <v>0</v>
      </c>
      <c r="AC1163" s="94"/>
      <c r="AE1163" s="1"/>
      <c r="AF1163" s="2"/>
      <c r="AG1163" s="1"/>
      <c r="AH1163" s="1"/>
      <c r="AI1163" s="1"/>
      <c r="AJ1163" s="1"/>
      <c r="AK1163" s="1"/>
      <c r="AL1163" s="1"/>
      <c r="AM1163" s="1"/>
      <c r="AN1163" s="1"/>
      <c r="AO1163" s="1"/>
      <c r="AP1163" s="1"/>
      <c r="AQ1163" s="1"/>
      <c r="AR1163" s="1"/>
      <c r="AS1163" s="1"/>
      <c r="AT1163" s="1"/>
      <c r="AU1163" s="1"/>
      <c r="AV1163" s="1"/>
      <c r="AW1163" s="1"/>
      <c r="AX1163" s="1"/>
      <c r="AY1163" s="1"/>
      <c r="AZ1163" s="1"/>
      <c r="BA1163" s="1"/>
      <c r="BB1163" s="1"/>
      <c r="BC1163" s="1"/>
      <c r="BD1163" s="1"/>
      <c r="BE1163" s="1"/>
      <c r="BF1163" s="1"/>
      <c r="BG1163" s="1"/>
      <c r="BH1163" s="1"/>
      <c r="BI1163" s="1"/>
      <c r="BJ1163" s="1"/>
      <c r="BK1163" s="1"/>
      <c r="BL1163" s="1"/>
      <c r="BM1163" s="1"/>
      <c r="BN1163" s="1"/>
      <c r="BO1163" s="1"/>
      <c r="BP1163" s="1"/>
      <c r="BQ1163" s="1"/>
      <c r="BR1163" s="1"/>
      <c r="BS1163" s="1"/>
      <c r="BT1163" s="1"/>
      <c r="BU1163" s="1"/>
      <c r="BV1163" s="1"/>
      <c r="BW1163" s="1"/>
      <c r="BX1163" s="1"/>
      <c r="BY1163" s="1"/>
      <c r="BZ1163" s="1"/>
      <c r="CA1163" s="1"/>
      <c r="CB1163" s="1"/>
      <c r="CC1163" s="1"/>
      <c r="CD1163" s="1"/>
      <c r="CE1163" s="1"/>
      <c r="CF1163" s="1"/>
    </row>
    <row r="1164" spans="1:84" s="3" customFormat="1" x14ac:dyDescent="0.2">
      <c r="A1164" s="17" t="s">
        <v>3921</v>
      </c>
      <c r="B1164" s="17" t="s">
        <v>45</v>
      </c>
      <c r="C1164" s="17">
        <v>2025</v>
      </c>
      <c r="D1164" s="17" t="str">
        <f t="array" ref="D1164">_xlfn.SWITCH(E1164,"Bagor","35.18.14","Sukomoro",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64" s="94" t="s">
        <v>45</v>
      </c>
      <c r="F1164" s="93" t="s">
        <v>2600</v>
      </c>
      <c r="G1164" s="99" t="s">
        <v>2601</v>
      </c>
      <c r="H1164" s="94" t="s">
        <v>31</v>
      </c>
      <c r="I1164" s="94">
        <v>6</v>
      </c>
      <c r="J1164" s="94">
        <v>15</v>
      </c>
      <c r="K1164" s="94">
        <f>J1164+I1164</f>
        <v>21</v>
      </c>
      <c r="L1164" s="95">
        <v>275000000</v>
      </c>
      <c r="M1164" s="96" t="s">
        <v>2602</v>
      </c>
      <c r="N1164" s="95">
        <f>50*25*12</f>
        <v>15000</v>
      </c>
      <c r="O1164" s="94" t="s">
        <v>1398</v>
      </c>
      <c r="P1164" s="97">
        <f>N1164*50000</f>
        <v>750000000</v>
      </c>
      <c r="Q1164" s="96" t="s">
        <v>2603</v>
      </c>
      <c r="R1164" s="98">
        <v>10000</v>
      </c>
      <c r="S1164" s="94" t="s">
        <v>422</v>
      </c>
      <c r="T1164" s="97">
        <f>R1164*12000</f>
        <v>120000000</v>
      </c>
      <c r="U1164" s="94" t="s">
        <v>22</v>
      </c>
      <c r="V1164" s="94"/>
      <c r="W1164" s="94"/>
      <c r="X1164" s="94"/>
      <c r="Y1164" s="94">
        <v>100</v>
      </c>
      <c r="Z1164" s="94">
        <v>0</v>
      </c>
      <c r="AA1164" s="94">
        <v>0</v>
      </c>
      <c r="AB1164" s="94">
        <v>0</v>
      </c>
      <c r="AC1164" s="94"/>
      <c r="AE1164" s="1"/>
      <c r="AF1164" s="2"/>
      <c r="AG1164" s="1"/>
      <c r="AH1164" s="1"/>
      <c r="AI1164" s="1"/>
      <c r="AJ1164" s="1"/>
      <c r="AK1164" s="1"/>
      <c r="AL1164" s="1"/>
      <c r="AM1164" s="1"/>
      <c r="AN1164" s="1"/>
      <c r="AO1164" s="1"/>
      <c r="AP1164" s="1"/>
      <c r="AQ1164" s="1"/>
      <c r="AR1164" s="1"/>
      <c r="AS1164" s="1"/>
      <c r="AT1164" s="1"/>
      <c r="AU1164" s="1"/>
      <c r="AV1164" s="1"/>
      <c r="AW1164" s="1"/>
      <c r="AX1164" s="1"/>
      <c r="AY1164" s="1"/>
      <c r="AZ1164" s="1"/>
      <c r="BA1164" s="1"/>
      <c r="BB1164" s="1"/>
      <c r="BC1164" s="1"/>
      <c r="BD1164" s="1"/>
      <c r="BE1164" s="1"/>
      <c r="BF1164" s="1"/>
      <c r="BG1164" s="1"/>
      <c r="BH1164" s="1"/>
      <c r="BI1164" s="1"/>
      <c r="BJ1164" s="1"/>
      <c r="BK1164" s="1"/>
      <c r="BL1164" s="1"/>
      <c r="BM1164" s="1"/>
      <c r="BN1164" s="1"/>
      <c r="BO1164" s="1"/>
      <c r="BP1164" s="1"/>
      <c r="BQ1164" s="1"/>
      <c r="BR1164" s="1"/>
      <c r="BS1164" s="1"/>
      <c r="BT1164" s="1"/>
      <c r="BU1164" s="1"/>
      <c r="BV1164" s="1"/>
      <c r="BW1164" s="1"/>
      <c r="BX1164" s="1"/>
      <c r="BY1164" s="1"/>
      <c r="BZ1164" s="1"/>
      <c r="CA1164" s="1"/>
      <c r="CB1164" s="1"/>
      <c r="CC1164" s="1"/>
      <c r="CD1164" s="1"/>
      <c r="CE1164" s="1"/>
      <c r="CF1164" s="1"/>
    </row>
    <row r="1165" spans="1:84" s="3" customFormat="1" x14ac:dyDescent="0.2">
      <c r="A1165" s="17" t="s">
        <v>3921</v>
      </c>
      <c r="B1165" s="17" t="s">
        <v>45</v>
      </c>
      <c r="C1165" s="17">
        <v>2025</v>
      </c>
      <c r="D1165" s="17" t="str">
        <f t="array" ref="D1165">_xlfn.SWITCH(E1165,"Bagor","35.18.14","Sukomoro",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65" s="94" t="s">
        <v>140</v>
      </c>
      <c r="F1165" s="93" t="s">
        <v>2604</v>
      </c>
      <c r="G1165" s="99" t="s">
        <v>2605</v>
      </c>
      <c r="H1165" s="94" t="s">
        <v>31</v>
      </c>
      <c r="I1165" s="94">
        <v>1</v>
      </c>
      <c r="J1165" s="94">
        <v>4</v>
      </c>
      <c r="K1165" s="94">
        <f>J1165+I1165</f>
        <v>5</v>
      </c>
      <c r="L1165" s="95">
        <v>35000000</v>
      </c>
      <c r="M1165" s="96" t="s">
        <v>2606</v>
      </c>
      <c r="N1165" s="95">
        <v>2000</v>
      </c>
      <c r="O1165" s="94" t="s">
        <v>1398</v>
      </c>
      <c r="P1165" s="97">
        <f>N1165*50000</f>
        <v>100000000</v>
      </c>
      <c r="Q1165" s="96" t="s">
        <v>2607</v>
      </c>
      <c r="R1165" s="98">
        <v>15000</v>
      </c>
      <c r="S1165" s="94" t="s">
        <v>1368</v>
      </c>
      <c r="T1165" s="97">
        <f>R1165*8000</f>
        <v>120000000</v>
      </c>
      <c r="U1165" s="94" t="s">
        <v>22</v>
      </c>
      <c r="V1165" s="94"/>
      <c r="W1165" s="94"/>
      <c r="X1165" s="94"/>
      <c r="Y1165" s="94">
        <v>80</v>
      </c>
      <c r="Z1165" s="94">
        <v>20</v>
      </c>
      <c r="AA1165" s="94">
        <v>0</v>
      </c>
      <c r="AB1165" s="94">
        <v>0</v>
      </c>
      <c r="AC1165" s="94"/>
      <c r="AE1165" s="1"/>
      <c r="AF1165" s="2"/>
      <c r="AG1165" s="1"/>
      <c r="AH1165" s="1"/>
      <c r="AI1165" s="1"/>
      <c r="AJ1165" s="1"/>
      <c r="AK1165" s="1"/>
      <c r="AL1165" s="1"/>
      <c r="AM1165" s="1"/>
      <c r="AN1165" s="1"/>
      <c r="AO1165" s="1"/>
      <c r="AP1165" s="1"/>
      <c r="AQ1165" s="1"/>
      <c r="AR1165" s="1"/>
      <c r="AS1165" s="1"/>
      <c r="AT1165" s="1"/>
      <c r="AU1165" s="1"/>
      <c r="AV1165" s="1"/>
      <c r="AW1165" s="1"/>
      <c r="AX1165" s="1"/>
      <c r="AY1165" s="1"/>
      <c r="AZ1165" s="1"/>
      <c r="BA1165" s="1"/>
      <c r="BB1165" s="1"/>
      <c r="BC1165" s="1"/>
      <c r="BD1165" s="1"/>
      <c r="BE1165" s="1"/>
      <c r="BF1165" s="1"/>
      <c r="BG1165" s="1"/>
      <c r="BH1165" s="1"/>
      <c r="BI1165" s="1"/>
      <c r="BJ1165" s="1"/>
      <c r="BK1165" s="1"/>
      <c r="BL1165" s="1"/>
      <c r="BM1165" s="1"/>
      <c r="BN1165" s="1"/>
      <c r="BO1165" s="1"/>
      <c r="BP1165" s="1"/>
      <c r="BQ1165" s="1"/>
      <c r="BR1165" s="1"/>
      <c r="BS1165" s="1"/>
      <c r="BT1165" s="1"/>
      <c r="BU1165" s="1"/>
      <c r="BV1165" s="1"/>
      <c r="BW1165" s="1"/>
      <c r="BX1165" s="1"/>
      <c r="BY1165" s="1"/>
      <c r="BZ1165" s="1"/>
      <c r="CA1165" s="1"/>
      <c r="CB1165" s="1"/>
      <c r="CC1165" s="1"/>
      <c r="CD1165" s="1"/>
      <c r="CE1165" s="1"/>
      <c r="CF1165" s="1"/>
    </row>
    <row r="1166" spans="1:84" s="3" customFormat="1" x14ac:dyDescent="0.2">
      <c r="A1166" s="17" t="s">
        <v>3921</v>
      </c>
      <c r="B1166" s="17" t="s">
        <v>45</v>
      </c>
      <c r="C1166" s="17">
        <v>2025</v>
      </c>
      <c r="D1166" s="17" t="str">
        <f t="array" ref="D1166">_xlfn.SWITCH(E1166,"Bagor","35.18.14","Sukomoro",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66" s="94" t="s">
        <v>29</v>
      </c>
      <c r="F1166" s="93" t="s">
        <v>1816</v>
      </c>
      <c r="G1166" s="93" t="s">
        <v>2608</v>
      </c>
      <c r="H1166" s="94" t="s">
        <v>31</v>
      </c>
      <c r="I1166" s="94">
        <v>0</v>
      </c>
      <c r="J1166" s="94">
        <v>10</v>
      </c>
      <c r="K1166" s="94">
        <v>10</v>
      </c>
      <c r="L1166" s="95">
        <v>50000000</v>
      </c>
      <c r="M1166" s="96" t="s">
        <v>2609</v>
      </c>
      <c r="N1166" s="95">
        <v>1500</v>
      </c>
      <c r="O1166" s="94" t="s">
        <v>1194</v>
      </c>
      <c r="P1166" s="97">
        <v>105000000</v>
      </c>
      <c r="Q1166" s="96" t="s">
        <v>2607</v>
      </c>
      <c r="R1166" s="98">
        <v>1000</v>
      </c>
      <c r="S1166" s="94" t="s">
        <v>1368</v>
      </c>
      <c r="T1166" s="97">
        <v>50000000</v>
      </c>
      <c r="U1166" s="94" t="s">
        <v>22</v>
      </c>
      <c r="V1166" s="94"/>
      <c r="W1166" s="94"/>
      <c r="X1166" s="94"/>
      <c r="Y1166" s="94">
        <v>100</v>
      </c>
      <c r="Z1166" s="94">
        <v>0</v>
      </c>
      <c r="AA1166" s="94">
        <v>0</v>
      </c>
      <c r="AB1166" s="94">
        <v>0</v>
      </c>
      <c r="AC1166" s="94"/>
      <c r="AE1166" s="1"/>
      <c r="AF1166" s="2"/>
      <c r="AG1166" s="1"/>
      <c r="AH1166" s="1"/>
      <c r="AI1166" s="1"/>
      <c r="AJ1166" s="1"/>
      <c r="AK1166" s="1"/>
      <c r="AL1166" s="1"/>
      <c r="AM1166" s="1"/>
      <c r="AN1166" s="1"/>
      <c r="AO1166" s="1"/>
      <c r="AP1166" s="1"/>
      <c r="AQ1166" s="1"/>
      <c r="AR1166" s="1"/>
      <c r="AS1166" s="1"/>
      <c r="AT1166" s="1"/>
      <c r="AU1166" s="1"/>
      <c r="AV1166" s="1"/>
      <c r="AW1166" s="1"/>
      <c r="AX1166" s="1"/>
      <c r="AY1166" s="1"/>
      <c r="AZ1166" s="1"/>
      <c r="BA1166" s="1"/>
      <c r="BB1166" s="1"/>
      <c r="BC1166" s="1"/>
      <c r="BD1166" s="1"/>
      <c r="BE1166" s="1"/>
      <c r="BF1166" s="1"/>
      <c r="BG1166" s="1"/>
      <c r="BH1166" s="1"/>
      <c r="BI1166" s="1"/>
      <c r="BJ1166" s="1"/>
      <c r="BK1166" s="1"/>
      <c r="BL1166" s="1"/>
      <c r="BM1166" s="1"/>
      <c r="BN1166" s="1"/>
      <c r="BO1166" s="1"/>
      <c r="BP1166" s="1"/>
      <c r="BQ1166" s="1"/>
      <c r="BR1166" s="1"/>
      <c r="BS1166" s="1"/>
      <c r="BT1166" s="1"/>
      <c r="BU1166" s="1"/>
      <c r="BV1166" s="1"/>
      <c r="BW1166" s="1"/>
      <c r="BX1166" s="1"/>
      <c r="BY1166" s="1"/>
      <c r="BZ1166" s="1"/>
      <c r="CA1166" s="1"/>
      <c r="CB1166" s="1"/>
      <c r="CC1166" s="1"/>
      <c r="CD1166" s="1"/>
      <c r="CE1166" s="1"/>
      <c r="CF1166" s="1"/>
    </row>
    <row r="1167" spans="1:84" s="3" customFormat="1" ht="20" x14ac:dyDescent="0.2">
      <c r="A1167" s="17" t="s">
        <v>3921</v>
      </c>
      <c r="B1167" s="17" t="s">
        <v>45</v>
      </c>
      <c r="C1167" s="17">
        <v>2025</v>
      </c>
      <c r="D1167" s="17" t="str">
        <f t="array" ref="D1167">_xlfn.SWITCH(E1167,"Jatikalen","35.18.20","Kertosono", "35.18.08","Lengkong","35.18.19","Loceret","35.18.04","Tanjunganom","35.18.11","Wilangan","35.18.15")</f>
        <v>35.18.11</v>
      </c>
      <c r="E1167" s="94" t="s">
        <v>60</v>
      </c>
      <c r="F1167" s="93" t="s">
        <v>2519</v>
      </c>
      <c r="G1167" s="100" t="s">
        <v>2605</v>
      </c>
      <c r="H1167" s="94" t="s">
        <v>31</v>
      </c>
      <c r="I1167" s="94">
        <v>0</v>
      </c>
      <c r="J1167" s="94">
        <v>5</v>
      </c>
      <c r="K1167" s="94">
        <v>5</v>
      </c>
      <c r="L1167" s="95">
        <v>50000000</v>
      </c>
      <c r="M1167" s="96" t="s">
        <v>2610</v>
      </c>
      <c r="N1167" s="95">
        <v>2500</v>
      </c>
      <c r="O1167" s="94" t="s">
        <v>1398</v>
      </c>
      <c r="P1167" s="97">
        <f>N1167*45000</f>
        <v>112500000</v>
      </c>
      <c r="Q1167" s="96" t="s">
        <v>2607</v>
      </c>
      <c r="R1167" s="98">
        <v>17500</v>
      </c>
      <c r="S1167" s="94" t="s">
        <v>1368</v>
      </c>
      <c r="T1167" s="97">
        <f>R1167*7500</f>
        <v>131250000</v>
      </c>
      <c r="U1167" s="94" t="s">
        <v>22</v>
      </c>
      <c r="V1167" s="94"/>
      <c r="W1167" s="94"/>
      <c r="X1167" s="94"/>
      <c r="Y1167" s="94">
        <v>80</v>
      </c>
      <c r="Z1167" s="94">
        <v>20</v>
      </c>
      <c r="AA1167" s="94">
        <v>0</v>
      </c>
      <c r="AB1167" s="94">
        <v>0</v>
      </c>
      <c r="AC1167" s="94"/>
      <c r="AE1167" s="1"/>
      <c r="AF1167" s="2"/>
      <c r="AG1167" s="1"/>
      <c r="AH1167" s="1"/>
      <c r="AI1167" s="1"/>
      <c r="AJ1167" s="1"/>
      <c r="AK1167" s="1"/>
      <c r="AL1167" s="1"/>
      <c r="AM1167" s="1"/>
      <c r="AN1167" s="1"/>
      <c r="AO1167" s="1"/>
      <c r="AP1167" s="1"/>
      <c r="AQ1167" s="1"/>
      <c r="AR1167" s="1"/>
      <c r="AS1167" s="1"/>
      <c r="AT1167" s="1"/>
      <c r="AU1167" s="1"/>
      <c r="AV1167" s="1"/>
      <c r="AW1167" s="1"/>
      <c r="AX1167" s="1"/>
      <c r="AY1167" s="1"/>
      <c r="AZ1167" s="1"/>
      <c r="BA1167" s="1"/>
      <c r="BB1167" s="1"/>
      <c r="BC1167" s="1"/>
      <c r="BD1167" s="1"/>
      <c r="BE1167" s="1"/>
      <c r="BF1167" s="1"/>
      <c r="BG1167" s="1"/>
      <c r="BH1167" s="1"/>
      <c r="BI1167" s="1"/>
      <c r="BJ1167" s="1"/>
      <c r="BK1167" s="1"/>
      <c r="BL1167" s="1"/>
      <c r="BM1167" s="1"/>
      <c r="BN1167" s="1"/>
      <c r="BO1167" s="1"/>
      <c r="BP1167" s="1"/>
      <c r="BQ1167" s="1"/>
      <c r="BR1167" s="1"/>
      <c r="BS1167" s="1"/>
      <c r="BT1167" s="1"/>
      <c r="BU1167" s="1"/>
      <c r="BV1167" s="1"/>
      <c r="BW1167" s="1"/>
      <c r="BX1167" s="1"/>
      <c r="BY1167" s="1"/>
      <c r="BZ1167" s="1"/>
      <c r="CA1167" s="1"/>
      <c r="CB1167" s="1"/>
      <c r="CC1167" s="1"/>
      <c r="CD1167" s="1"/>
      <c r="CE1167" s="1"/>
      <c r="CF1167" s="1"/>
    </row>
    <row r="1168" spans="1:84" s="3" customFormat="1" x14ac:dyDescent="0.2">
      <c r="A1168" s="17" t="s">
        <v>3921</v>
      </c>
      <c r="B1168" s="17" t="s">
        <v>45</v>
      </c>
      <c r="C1168" s="17">
        <v>2025</v>
      </c>
      <c r="D1168" s="17" t="str">
        <f t="array" ref="D1168">_xlfn.SWITCH(E1168,"Bagor","35.18.14","Sukomoro",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68" s="94" t="s">
        <v>29</v>
      </c>
      <c r="F1168" s="93" t="s">
        <v>2611</v>
      </c>
      <c r="G1168" s="100" t="s">
        <v>2612</v>
      </c>
      <c r="H1168" s="94" t="s">
        <v>31</v>
      </c>
      <c r="I1168" s="94">
        <v>2</v>
      </c>
      <c r="J1168" s="94">
        <v>1</v>
      </c>
      <c r="K1168" s="94">
        <f t="shared" ref="K1168:K1199" si="25">SUM(I1168:J1168)</f>
        <v>3</v>
      </c>
      <c r="L1168" s="95">
        <v>5000000</v>
      </c>
      <c r="M1168" s="96" t="s">
        <v>2163</v>
      </c>
      <c r="N1168" s="95">
        <v>180</v>
      </c>
      <c r="O1168" s="94" t="s">
        <v>1116</v>
      </c>
      <c r="P1168" s="97">
        <f t="shared" ref="P1168:P1175" si="26">N1168*25000</f>
        <v>4500000</v>
      </c>
      <c r="Q1168" s="96" t="s">
        <v>1059</v>
      </c>
      <c r="R1168" s="98">
        <f t="shared" ref="R1168:R1175" si="27">N1168/2</f>
        <v>90</v>
      </c>
      <c r="S1168" s="94" t="s">
        <v>1538</v>
      </c>
      <c r="T1168" s="97">
        <f t="shared" ref="T1168:T1189" si="28">R1168*15000</f>
        <v>1350000</v>
      </c>
      <c r="U1168" s="94" t="s">
        <v>22</v>
      </c>
      <c r="V1168" s="94"/>
      <c r="W1168" s="94"/>
      <c r="X1168" s="94"/>
      <c r="Y1168" s="94">
        <v>70</v>
      </c>
      <c r="Z1168" s="94">
        <v>30</v>
      </c>
      <c r="AA1168" s="94">
        <v>0</v>
      </c>
      <c r="AB1168" s="94">
        <v>0</v>
      </c>
      <c r="AC1168" s="94"/>
      <c r="AE1168" s="1"/>
      <c r="AF1168" s="2"/>
      <c r="AG1168" s="1"/>
      <c r="AH1168" s="1"/>
      <c r="AI1168" s="1"/>
      <c r="AJ1168" s="1"/>
      <c r="AK1168" s="1"/>
      <c r="AL1168" s="1"/>
      <c r="AM1168" s="1"/>
      <c r="AN1168" s="1"/>
      <c r="AO1168" s="1"/>
      <c r="AP1168" s="1"/>
      <c r="AQ1168" s="1"/>
      <c r="AR1168" s="1"/>
      <c r="AS1168" s="1"/>
      <c r="AT1168" s="1"/>
      <c r="AU1168" s="1"/>
      <c r="AV1168" s="1"/>
      <c r="AW1168" s="1"/>
      <c r="AX1168" s="1"/>
      <c r="AY1168" s="1"/>
      <c r="AZ1168" s="1"/>
      <c r="BA1168" s="1"/>
      <c r="BB1168" s="1"/>
      <c r="BC1168" s="1"/>
      <c r="BD1168" s="1"/>
      <c r="BE1168" s="1"/>
      <c r="BF1168" s="1"/>
      <c r="BG1168" s="1"/>
      <c r="BH1168" s="1"/>
      <c r="BI1168" s="1"/>
      <c r="BJ1168" s="1"/>
      <c r="BK1168" s="1"/>
      <c r="BL1168" s="1"/>
      <c r="BM1168" s="1"/>
      <c r="BN1168" s="1"/>
      <c r="BO1168" s="1"/>
      <c r="BP1168" s="1"/>
      <c r="BQ1168" s="1"/>
      <c r="BR1168" s="1"/>
      <c r="BS1168" s="1"/>
      <c r="BT1168" s="1"/>
      <c r="BU1168" s="1"/>
      <c r="BV1168" s="1"/>
      <c r="BW1168" s="1"/>
      <c r="BX1168" s="1"/>
      <c r="BY1168" s="1"/>
      <c r="BZ1168" s="1"/>
      <c r="CA1168" s="1"/>
      <c r="CB1168" s="1"/>
      <c r="CC1168" s="1"/>
      <c r="CD1168" s="1"/>
      <c r="CE1168" s="1"/>
      <c r="CF1168" s="1"/>
    </row>
    <row r="1169" spans="1:84" s="3" customFormat="1" x14ac:dyDescent="0.2">
      <c r="A1169" s="17" t="s">
        <v>3921</v>
      </c>
      <c r="B1169" s="17" t="s">
        <v>45</v>
      </c>
      <c r="C1169" s="17">
        <v>2025</v>
      </c>
      <c r="D1169" s="17" t="str">
        <f t="array" ref="D1169">_xlfn.SWITCH(E1169,"Bagor","35.18.14","Sukomoro",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69" s="94" t="s">
        <v>29</v>
      </c>
      <c r="F1169" s="93" t="s">
        <v>2611</v>
      </c>
      <c r="G1169" s="93" t="s">
        <v>2613</v>
      </c>
      <c r="H1169" s="94" t="s">
        <v>31</v>
      </c>
      <c r="I1169" s="94">
        <v>2</v>
      </c>
      <c r="J1169" s="94">
        <v>2</v>
      </c>
      <c r="K1169" s="94">
        <f t="shared" si="25"/>
        <v>4</v>
      </c>
      <c r="L1169" s="95">
        <v>7500000</v>
      </c>
      <c r="M1169" s="96" t="s">
        <v>2163</v>
      </c>
      <c r="N1169" s="95">
        <v>240</v>
      </c>
      <c r="O1169" s="94" t="s">
        <v>1116</v>
      </c>
      <c r="P1169" s="97">
        <f t="shared" si="26"/>
        <v>6000000</v>
      </c>
      <c r="Q1169" s="96" t="s">
        <v>1059</v>
      </c>
      <c r="R1169" s="98">
        <f t="shared" si="27"/>
        <v>120</v>
      </c>
      <c r="S1169" s="94" t="s">
        <v>1538</v>
      </c>
      <c r="T1169" s="97">
        <f t="shared" si="28"/>
        <v>1800000</v>
      </c>
      <c r="U1169" s="94" t="s">
        <v>22</v>
      </c>
      <c r="V1169" s="94"/>
      <c r="W1169" s="94"/>
      <c r="X1169" s="94"/>
      <c r="Y1169" s="94">
        <v>70</v>
      </c>
      <c r="Z1169" s="94">
        <v>30</v>
      </c>
      <c r="AA1169" s="94">
        <v>0</v>
      </c>
      <c r="AB1169" s="94">
        <v>0</v>
      </c>
      <c r="AC1169" s="94"/>
      <c r="AE1169" s="1"/>
      <c r="AF1169" s="2"/>
      <c r="AG1169" s="1"/>
      <c r="AH1169" s="1"/>
      <c r="AI1169" s="1"/>
      <c r="AJ1169" s="1"/>
      <c r="AK1169" s="1"/>
      <c r="AL1169" s="1"/>
      <c r="AM1169" s="1"/>
      <c r="AN1169" s="1"/>
      <c r="AO1169" s="1"/>
      <c r="AP1169" s="1"/>
      <c r="AQ1169" s="1"/>
      <c r="AR1169" s="1"/>
      <c r="AS1169" s="1"/>
      <c r="AT1169" s="1"/>
      <c r="AU1169" s="1"/>
      <c r="AV1169" s="1"/>
      <c r="AW1169" s="1"/>
      <c r="AX1169" s="1"/>
      <c r="AY1169" s="1"/>
      <c r="AZ1169" s="1"/>
      <c r="BA1169" s="1"/>
      <c r="BB1169" s="1"/>
      <c r="BC1169" s="1"/>
      <c r="BD1169" s="1"/>
      <c r="BE1169" s="1"/>
      <c r="BF1169" s="1"/>
      <c r="BG1169" s="1"/>
      <c r="BH1169" s="1"/>
      <c r="BI1169" s="1"/>
      <c r="BJ1169" s="1"/>
      <c r="BK1169" s="1"/>
      <c r="BL1169" s="1"/>
      <c r="BM1169" s="1"/>
      <c r="BN1169" s="1"/>
      <c r="BO1169" s="1"/>
      <c r="BP1169" s="1"/>
      <c r="BQ1169" s="1"/>
      <c r="BR1169" s="1"/>
      <c r="BS1169" s="1"/>
      <c r="BT1169" s="1"/>
      <c r="BU1169" s="1"/>
      <c r="BV1169" s="1"/>
      <c r="BW1169" s="1"/>
      <c r="BX1169" s="1"/>
      <c r="BY1169" s="1"/>
      <c r="BZ1169" s="1"/>
      <c r="CA1169" s="1"/>
      <c r="CB1169" s="1"/>
      <c r="CC1169" s="1"/>
      <c r="CD1169" s="1"/>
      <c r="CE1169" s="1"/>
      <c r="CF1169" s="1"/>
    </row>
    <row r="1170" spans="1:84" s="3" customFormat="1" x14ac:dyDescent="0.2">
      <c r="A1170" s="17" t="s">
        <v>3921</v>
      </c>
      <c r="B1170" s="17" t="s">
        <v>45</v>
      </c>
      <c r="C1170" s="17">
        <v>2025</v>
      </c>
      <c r="D1170" s="17" t="str">
        <f t="array" ref="D1170">_xlfn.SWITCH(E1170,"Bagor","35.18.14","Sukomoro",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0" s="94" t="s">
        <v>29</v>
      </c>
      <c r="F1170" s="93" t="s">
        <v>2611</v>
      </c>
      <c r="G1170" s="93" t="s">
        <v>2614</v>
      </c>
      <c r="H1170" s="94" t="s">
        <v>31</v>
      </c>
      <c r="I1170" s="94">
        <v>1</v>
      </c>
      <c r="J1170" s="94">
        <v>1</v>
      </c>
      <c r="K1170" s="94">
        <f t="shared" si="25"/>
        <v>2</v>
      </c>
      <c r="L1170" s="95">
        <v>2000000</v>
      </c>
      <c r="M1170" s="96" t="s">
        <v>2163</v>
      </c>
      <c r="N1170" s="95">
        <v>120</v>
      </c>
      <c r="O1170" s="94" t="s">
        <v>1116</v>
      </c>
      <c r="P1170" s="97">
        <f t="shared" si="26"/>
        <v>3000000</v>
      </c>
      <c r="Q1170" s="96" t="s">
        <v>1059</v>
      </c>
      <c r="R1170" s="98">
        <f t="shared" si="27"/>
        <v>60</v>
      </c>
      <c r="S1170" s="94" t="s">
        <v>1538</v>
      </c>
      <c r="T1170" s="97">
        <f t="shared" si="28"/>
        <v>900000</v>
      </c>
      <c r="U1170" s="94" t="s">
        <v>22</v>
      </c>
      <c r="V1170" s="94"/>
      <c r="W1170" s="94"/>
      <c r="X1170" s="94"/>
      <c r="Y1170" s="94">
        <v>70</v>
      </c>
      <c r="Z1170" s="94">
        <v>30</v>
      </c>
      <c r="AA1170" s="94">
        <v>0</v>
      </c>
      <c r="AB1170" s="94">
        <v>0</v>
      </c>
      <c r="AC1170" s="94"/>
      <c r="AE1170" s="1"/>
      <c r="AF1170" s="2"/>
      <c r="AG1170" s="1"/>
      <c r="AH1170" s="1"/>
      <c r="AI1170" s="1"/>
      <c r="AJ1170" s="1"/>
      <c r="AK1170" s="1"/>
      <c r="AL1170" s="1"/>
      <c r="AM1170" s="1"/>
      <c r="AN1170" s="1"/>
      <c r="AO1170" s="1"/>
      <c r="AP1170" s="1"/>
      <c r="AQ1170" s="1"/>
      <c r="AR1170" s="1"/>
      <c r="AS1170" s="1"/>
      <c r="AT1170" s="1"/>
      <c r="AU1170" s="1"/>
      <c r="AV1170" s="1"/>
      <c r="AW1170" s="1"/>
      <c r="AX1170" s="1"/>
      <c r="AY1170" s="1"/>
      <c r="AZ1170" s="1"/>
      <c r="BA1170" s="1"/>
      <c r="BB1170" s="1"/>
      <c r="BC1170" s="1"/>
      <c r="BD1170" s="1"/>
      <c r="BE1170" s="1"/>
      <c r="BF1170" s="1"/>
      <c r="BG1170" s="1"/>
      <c r="BH1170" s="1"/>
      <c r="BI1170" s="1"/>
      <c r="BJ1170" s="1"/>
      <c r="BK1170" s="1"/>
      <c r="BL1170" s="1"/>
      <c r="BM1170" s="1"/>
      <c r="BN1170" s="1"/>
      <c r="BO1170" s="1"/>
      <c r="BP1170" s="1"/>
      <c r="BQ1170" s="1"/>
      <c r="BR1170" s="1"/>
      <c r="BS1170" s="1"/>
      <c r="BT1170" s="1"/>
      <c r="BU1170" s="1"/>
      <c r="BV1170" s="1"/>
      <c r="BW1170" s="1"/>
      <c r="BX1170" s="1"/>
      <c r="BY1170" s="1"/>
      <c r="BZ1170" s="1"/>
      <c r="CA1170" s="1"/>
      <c r="CB1170" s="1"/>
      <c r="CC1170" s="1"/>
      <c r="CD1170" s="1"/>
      <c r="CE1170" s="1"/>
      <c r="CF1170" s="1"/>
    </row>
    <row r="1171" spans="1:84" s="3" customFormat="1" x14ac:dyDescent="0.2">
      <c r="A1171" s="17" t="s">
        <v>3921</v>
      </c>
      <c r="B1171" s="17" t="s">
        <v>45</v>
      </c>
      <c r="C1171" s="17">
        <v>2025</v>
      </c>
      <c r="D1171" s="17" t="str">
        <f t="array" ref="D1171">_xlfn.SWITCH(E1171,"Bagor","35.18.14","Sukomoro",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1" s="94" t="s">
        <v>29</v>
      </c>
      <c r="F1171" s="93" t="s">
        <v>2611</v>
      </c>
      <c r="G1171" s="93" t="s">
        <v>2615</v>
      </c>
      <c r="H1171" s="94" t="s">
        <v>31</v>
      </c>
      <c r="I1171" s="94">
        <v>2</v>
      </c>
      <c r="J1171" s="94">
        <v>2</v>
      </c>
      <c r="K1171" s="94">
        <f t="shared" si="25"/>
        <v>4</v>
      </c>
      <c r="L1171" s="95">
        <v>3000000</v>
      </c>
      <c r="M1171" s="96" t="s">
        <v>2163</v>
      </c>
      <c r="N1171" s="95">
        <f t="shared" ref="N1171:N1189" si="29">K1171*2*30</f>
        <v>240</v>
      </c>
      <c r="O1171" s="94" t="s">
        <v>1116</v>
      </c>
      <c r="P1171" s="97">
        <f t="shared" si="26"/>
        <v>6000000</v>
      </c>
      <c r="Q1171" s="96" t="s">
        <v>1059</v>
      </c>
      <c r="R1171" s="98">
        <f t="shared" si="27"/>
        <v>120</v>
      </c>
      <c r="S1171" s="94" t="s">
        <v>1538</v>
      </c>
      <c r="T1171" s="97">
        <f t="shared" si="28"/>
        <v>1800000</v>
      </c>
      <c r="U1171" s="94" t="s">
        <v>22</v>
      </c>
      <c r="V1171" s="94"/>
      <c r="W1171" s="94"/>
      <c r="X1171" s="94"/>
      <c r="Y1171" s="94">
        <v>70</v>
      </c>
      <c r="Z1171" s="94">
        <v>30</v>
      </c>
      <c r="AA1171" s="94">
        <v>0</v>
      </c>
      <c r="AB1171" s="94">
        <v>0</v>
      </c>
      <c r="AC1171" s="94"/>
      <c r="AE1171" s="1"/>
      <c r="AF1171" s="2"/>
      <c r="AG1171" s="1"/>
      <c r="AH1171" s="1"/>
      <c r="AI1171" s="1"/>
      <c r="AJ1171" s="1"/>
      <c r="AK1171" s="1"/>
      <c r="AL1171" s="1"/>
      <c r="AM1171" s="1"/>
      <c r="AN1171" s="1"/>
      <c r="AO1171" s="1"/>
      <c r="AP1171" s="1"/>
      <c r="AQ1171" s="1"/>
      <c r="AR1171" s="1"/>
      <c r="AS1171" s="1"/>
      <c r="AT1171" s="1"/>
      <c r="AU1171" s="1"/>
      <c r="AV1171" s="1"/>
      <c r="AW1171" s="1"/>
      <c r="AX1171" s="1"/>
      <c r="AY1171" s="1"/>
      <c r="AZ1171" s="1"/>
      <c r="BA1171" s="1"/>
      <c r="BB1171" s="1"/>
      <c r="BC1171" s="1"/>
      <c r="BD1171" s="1"/>
      <c r="BE1171" s="1"/>
      <c r="BF1171" s="1"/>
      <c r="BG1171" s="1"/>
      <c r="BH1171" s="1"/>
      <c r="BI1171" s="1"/>
      <c r="BJ1171" s="1"/>
      <c r="BK1171" s="1"/>
      <c r="BL1171" s="1"/>
      <c r="BM1171" s="1"/>
      <c r="BN1171" s="1"/>
      <c r="BO1171" s="1"/>
      <c r="BP1171" s="1"/>
      <c r="BQ1171" s="1"/>
      <c r="BR1171" s="1"/>
      <c r="BS1171" s="1"/>
      <c r="BT1171" s="1"/>
      <c r="BU1171" s="1"/>
      <c r="BV1171" s="1"/>
      <c r="BW1171" s="1"/>
      <c r="BX1171" s="1"/>
      <c r="BY1171" s="1"/>
      <c r="BZ1171" s="1"/>
      <c r="CA1171" s="1"/>
      <c r="CB1171" s="1"/>
      <c r="CC1171" s="1"/>
      <c r="CD1171" s="1"/>
      <c r="CE1171" s="1"/>
      <c r="CF1171" s="1"/>
    </row>
    <row r="1172" spans="1:84" s="3" customFormat="1" x14ac:dyDescent="0.2">
      <c r="A1172" s="17" t="s">
        <v>3921</v>
      </c>
      <c r="B1172" s="17" t="s">
        <v>45</v>
      </c>
      <c r="C1172" s="17">
        <v>2025</v>
      </c>
      <c r="D1172" s="17" t="str">
        <f t="array" ref="D1172">_xlfn.SWITCH(E1172,"Bagor","35.18.14","Sukomoro",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2" s="94" t="s">
        <v>29</v>
      </c>
      <c r="F1172" s="93" t="s">
        <v>2611</v>
      </c>
      <c r="G1172" s="93" t="s">
        <v>2616</v>
      </c>
      <c r="H1172" s="94" t="s">
        <v>31</v>
      </c>
      <c r="I1172" s="94">
        <v>3</v>
      </c>
      <c r="J1172" s="94">
        <v>1</v>
      </c>
      <c r="K1172" s="94">
        <f t="shared" si="25"/>
        <v>4</v>
      </c>
      <c r="L1172" s="95">
        <v>5000000</v>
      </c>
      <c r="M1172" s="96" t="s">
        <v>2163</v>
      </c>
      <c r="N1172" s="95">
        <f t="shared" si="29"/>
        <v>240</v>
      </c>
      <c r="O1172" s="94" t="s">
        <v>1116</v>
      </c>
      <c r="P1172" s="97">
        <f t="shared" si="26"/>
        <v>6000000</v>
      </c>
      <c r="Q1172" s="96" t="s">
        <v>1059</v>
      </c>
      <c r="R1172" s="98">
        <f t="shared" si="27"/>
        <v>120</v>
      </c>
      <c r="S1172" s="94" t="s">
        <v>1538</v>
      </c>
      <c r="T1172" s="97">
        <f t="shared" si="28"/>
        <v>1800000</v>
      </c>
      <c r="U1172" s="94" t="s">
        <v>22</v>
      </c>
      <c r="V1172" s="94"/>
      <c r="W1172" s="94"/>
      <c r="X1172" s="94"/>
      <c r="Y1172" s="94">
        <v>100</v>
      </c>
      <c r="Z1172" s="94">
        <v>0</v>
      </c>
      <c r="AA1172" s="94">
        <v>0</v>
      </c>
      <c r="AB1172" s="94">
        <v>0</v>
      </c>
      <c r="AC1172" s="94"/>
      <c r="AE1172" s="1"/>
      <c r="AF1172" s="2"/>
      <c r="AG1172" s="1"/>
      <c r="AH1172" s="1"/>
      <c r="AI1172" s="1"/>
      <c r="AJ1172" s="1"/>
      <c r="AK1172" s="1"/>
      <c r="AL1172" s="1"/>
      <c r="AM1172" s="1"/>
      <c r="AN1172" s="1"/>
      <c r="AO1172" s="1"/>
      <c r="AP1172" s="1"/>
      <c r="AQ1172" s="1"/>
      <c r="AR1172" s="1"/>
      <c r="AS1172" s="1"/>
      <c r="AT1172" s="1"/>
      <c r="AU1172" s="1"/>
      <c r="AV1172" s="1"/>
      <c r="AW1172" s="1"/>
      <c r="AX1172" s="1"/>
      <c r="AY1172" s="1"/>
      <c r="AZ1172" s="1"/>
      <c r="BA1172" s="1"/>
      <c r="BB1172" s="1"/>
      <c r="BC1172" s="1"/>
      <c r="BD1172" s="1"/>
      <c r="BE1172" s="1"/>
      <c r="BF1172" s="1"/>
      <c r="BG1172" s="1"/>
      <c r="BH1172" s="1"/>
      <c r="BI1172" s="1"/>
      <c r="BJ1172" s="1"/>
      <c r="BK1172" s="1"/>
      <c r="BL1172" s="1"/>
      <c r="BM1172" s="1"/>
      <c r="BN1172" s="1"/>
      <c r="BO1172" s="1"/>
      <c r="BP1172" s="1"/>
      <c r="BQ1172" s="1"/>
      <c r="BR1172" s="1"/>
      <c r="BS1172" s="1"/>
      <c r="BT1172" s="1"/>
      <c r="BU1172" s="1"/>
      <c r="BV1172" s="1"/>
      <c r="BW1172" s="1"/>
      <c r="BX1172" s="1"/>
      <c r="BY1172" s="1"/>
      <c r="BZ1172" s="1"/>
      <c r="CA1172" s="1"/>
      <c r="CB1172" s="1"/>
      <c r="CC1172" s="1"/>
      <c r="CD1172" s="1"/>
      <c r="CE1172" s="1"/>
      <c r="CF1172" s="1"/>
    </row>
    <row r="1173" spans="1:84" s="3" customFormat="1" x14ac:dyDescent="0.2">
      <c r="A1173" s="17" t="s">
        <v>3921</v>
      </c>
      <c r="B1173" s="17" t="s">
        <v>45</v>
      </c>
      <c r="C1173" s="17">
        <v>2025</v>
      </c>
      <c r="D1173" s="17" t="str">
        <f t="array" ref="D1173">_xlfn.SWITCH(E1173,"Bagor","35.18.14","Sukomoro",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3" s="94" t="s">
        <v>29</v>
      </c>
      <c r="F1173" s="93" t="s">
        <v>2611</v>
      </c>
      <c r="G1173" s="93" t="s">
        <v>2617</v>
      </c>
      <c r="H1173" s="94" t="s">
        <v>31</v>
      </c>
      <c r="I1173" s="94">
        <v>1</v>
      </c>
      <c r="J1173" s="94">
        <v>1</v>
      </c>
      <c r="K1173" s="94">
        <f t="shared" si="25"/>
        <v>2</v>
      </c>
      <c r="L1173" s="95">
        <v>2500000</v>
      </c>
      <c r="M1173" s="96" t="s">
        <v>2163</v>
      </c>
      <c r="N1173" s="95">
        <f t="shared" si="29"/>
        <v>120</v>
      </c>
      <c r="O1173" s="94" t="s">
        <v>1116</v>
      </c>
      <c r="P1173" s="97">
        <f t="shared" si="26"/>
        <v>3000000</v>
      </c>
      <c r="Q1173" s="96" t="s">
        <v>1059</v>
      </c>
      <c r="R1173" s="98">
        <f t="shared" si="27"/>
        <v>60</v>
      </c>
      <c r="S1173" s="94" t="s">
        <v>1538</v>
      </c>
      <c r="T1173" s="97">
        <f t="shared" si="28"/>
        <v>900000</v>
      </c>
      <c r="U1173" s="94" t="s">
        <v>22</v>
      </c>
      <c r="V1173" s="94"/>
      <c r="W1173" s="94"/>
      <c r="X1173" s="94"/>
      <c r="Y1173" s="94">
        <v>100</v>
      </c>
      <c r="Z1173" s="94">
        <v>0</v>
      </c>
      <c r="AA1173" s="94">
        <v>0</v>
      </c>
      <c r="AB1173" s="94">
        <v>0</v>
      </c>
      <c r="AC1173" s="94"/>
      <c r="AE1173" s="1"/>
      <c r="AF1173" s="2"/>
      <c r="AG1173" s="1"/>
      <c r="AH1173" s="1"/>
      <c r="AI1173" s="1"/>
      <c r="AJ1173" s="1"/>
      <c r="AK1173" s="1"/>
      <c r="AL1173" s="1"/>
      <c r="AM1173" s="1"/>
      <c r="AN1173" s="1"/>
      <c r="AO1173" s="1"/>
      <c r="AP1173" s="1"/>
      <c r="AQ1173" s="1"/>
      <c r="AR1173" s="1"/>
      <c r="AS1173" s="1"/>
      <c r="AT1173" s="1"/>
      <c r="AU1173" s="1"/>
      <c r="AV1173" s="1"/>
      <c r="AW1173" s="1"/>
      <c r="AX1173" s="1"/>
      <c r="AY1173" s="1"/>
      <c r="AZ1173" s="1"/>
      <c r="BA1173" s="1"/>
      <c r="BB1173" s="1"/>
      <c r="BC1173" s="1"/>
      <c r="BD1173" s="1"/>
      <c r="BE1173" s="1"/>
      <c r="BF1173" s="1"/>
      <c r="BG1173" s="1"/>
      <c r="BH1173" s="1"/>
      <c r="BI1173" s="1"/>
      <c r="BJ1173" s="1"/>
      <c r="BK1173" s="1"/>
      <c r="BL1173" s="1"/>
      <c r="BM1173" s="1"/>
      <c r="BN1173" s="1"/>
      <c r="BO1173" s="1"/>
      <c r="BP1173" s="1"/>
      <c r="BQ1173" s="1"/>
      <c r="BR1173" s="1"/>
      <c r="BS1173" s="1"/>
      <c r="BT1173" s="1"/>
      <c r="BU1173" s="1"/>
      <c r="BV1173" s="1"/>
      <c r="BW1173" s="1"/>
      <c r="BX1173" s="1"/>
      <c r="BY1173" s="1"/>
      <c r="BZ1173" s="1"/>
      <c r="CA1173" s="1"/>
      <c r="CB1173" s="1"/>
      <c r="CC1173" s="1"/>
      <c r="CD1173" s="1"/>
      <c r="CE1173" s="1"/>
      <c r="CF1173" s="1"/>
    </row>
    <row r="1174" spans="1:84" s="3" customFormat="1" x14ac:dyDescent="0.2">
      <c r="A1174" s="17" t="s">
        <v>3921</v>
      </c>
      <c r="B1174" s="17" t="s">
        <v>45</v>
      </c>
      <c r="C1174" s="17">
        <v>2025</v>
      </c>
      <c r="D1174" s="17" t="str">
        <f t="array" ref="D1174">_xlfn.SWITCH(E1174,"Bagor","35.18.14","Sukomoro",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4" s="94" t="s">
        <v>29</v>
      </c>
      <c r="F1174" s="93" t="s">
        <v>2611</v>
      </c>
      <c r="G1174" s="93" t="s">
        <v>2618</v>
      </c>
      <c r="H1174" s="94" t="s">
        <v>31</v>
      </c>
      <c r="I1174" s="94">
        <v>1</v>
      </c>
      <c r="J1174" s="94">
        <v>2</v>
      </c>
      <c r="K1174" s="94">
        <f t="shared" si="25"/>
        <v>3</v>
      </c>
      <c r="L1174" s="95">
        <v>3000000</v>
      </c>
      <c r="M1174" s="96" t="s">
        <v>2163</v>
      </c>
      <c r="N1174" s="95">
        <f t="shared" si="29"/>
        <v>180</v>
      </c>
      <c r="O1174" s="94" t="s">
        <v>1116</v>
      </c>
      <c r="P1174" s="97">
        <f t="shared" si="26"/>
        <v>4500000</v>
      </c>
      <c r="Q1174" s="96" t="s">
        <v>1059</v>
      </c>
      <c r="R1174" s="98">
        <f t="shared" si="27"/>
        <v>90</v>
      </c>
      <c r="S1174" s="94" t="s">
        <v>1538</v>
      </c>
      <c r="T1174" s="97">
        <f t="shared" si="28"/>
        <v>1350000</v>
      </c>
      <c r="U1174" s="94" t="s">
        <v>22</v>
      </c>
      <c r="V1174" s="94"/>
      <c r="W1174" s="94"/>
      <c r="X1174" s="94"/>
      <c r="Y1174" s="94">
        <v>70</v>
      </c>
      <c r="Z1174" s="94">
        <v>30</v>
      </c>
      <c r="AA1174" s="94">
        <v>0</v>
      </c>
      <c r="AB1174" s="94">
        <v>0</v>
      </c>
      <c r="AC1174" s="94"/>
      <c r="AE1174" s="1"/>
      <c r="AF1174" s="2"/>
      <c r="AG1174" s="1"/>
      <c r="AH1174" s="1"/>
      <c r="AI1174" s="1"/>
      <c r="AJ1174" s="1"/>
      <c r="AK1174" s="1"/>
      <c r="AL1174" s="1"/>
      <c r="AM1174" s="1"/>
      <c r="AN1174" s="1"/>
      <c r="AO1174" s="1"/>
      <c r="AP1174" s="1"/>
      <c r="AQ1174" s="1"/>
      <c r="AR1174" s="1"/>
      <c r="AS1174" s="1"/>
      <c r="AT1174" s="1"/>
      <c r="AU1174" s="1"/>
      <c r="AV1174" s="1"/>
      <c r="AW1174" s="1"/>
      <c r="AX1174" s="1"/>
      <c r="AY1174" s="1"/>
      <c r="AZ1174" s="1"/>
      <c r="BA1174" s="1"/>
      <c r="BB1174" s="1"/>
      <c r="BC1174" s="1"/>
      <c r="BD1174" s="1"/>
      <c r="BE1174" s="1"/>
      <c r="BF1174" s="1"/>
      <c r="BG1174" s="1"/>
      <c r="BH1174" s="1"/>
      <c r="BI1174" s="1"/>
      <c r="BJ1174" s="1"/>
      <c r="BK1174" s="1"/>
      <c r="BL1174" s="1"/>
      <c r="BM1174" s="1"/>
      <c r="BN1174" s="1"/>
      <c r="BO1174" s="1"/>
      <c r="BP1174" s="1"/>
      <c r="BQ1174" s="1"/>
      <c r="BR1174" s="1"/>
      <c r="BS1174" s="1"/>
      <c r="BT1174" s="1"/>
      <c r="BU1174" s="1"/>
      <c r="BV1174" s="1"/>
      <c r="BW1174" s="1"/>
      <c r="BX1174" s="1"/>
      <c r="BY1174" s="1"/>
      <c r="BZ1174" s="1"/>
      <c r="CA1174" s="1"/>
      <c r="CB1174" s="1"/>
      <c r="CC1174" s="1"/>
      <c r="CD1174" s="1"/>
      <c r="CE1174" s="1"/>
      <c r="CF1174" s="1"/>
    </row>
    <row r="1175" spans="1:84" s="3" customFormat="1" x14ac:dyDescent="0.2">
      <c r="A1175" s="17" t="s">
        <v>3921</v>
      </c>
      <c r="B1175" s="17" t="s">
        <v>45</v>
      </c>
      <c r="C1175" s="17">
        <v>2025</v>
      </c>
      <c r="D1175" s="17" t="str">
        <f t="array" ref="D1175">_xlfn.SWITCH(E1175,"Bagor","35.18.14","Sukomoro",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5" s="94" t="s">
        <v>29</v>
      </c>
      <c r="F1175" s="93" t="s">
        <v>2611</v>
      </c>
      <c r="G1175" s="93" t="s">
        <v>2619</v>
      </c>
      <c r="H1175" s="94" t="s">
        <v>31</v>
      </c>
      <c r="I1175" s="94">
        <v>3</v>
      </c>
      <c r="J1175" s="94">
        <v>1</v>
      </c>
      <c r="K1175" s="94">
        <f t="shared" si="25"/>
        <v>4</v>
      </c>
      <c r="L1175" s="95">
        <v>2000000</v>
      </c>
      <c r="M1175" s="96" t="s">
        <v>2163</v>
      </c>
      <c r="N1175" s="95">
        <f t="shared" si="29"/>
        <v>240</v>
      </c>
      <c r="O1175" s="94" t="s">
        <v>1116</v>
      </c>
      <c r="P1175" s="97">
        <f t="shared" si="26"/>
        <v>6000000</v>
      </c>
      <c r="Q1175" s="96" t="s">
        <v>1059</v>
      </c>
      <c r="R1175" s="98">
        <f t="shared" si="27"/>
        <v>120</v>
      </c>
      <c r="S1175" s="94" t="s">
        <v>1538</v>
      </c>
      <c r="T1175" s="97">
        <f t="shared" si="28"/>
        <v>1800000</v>
      </c>
      <c r="U1175" s="94" t="s">
        <v>22</v>
      </c>
      <c r="V1175" s="94"/>
      <c r="W1175" s="94"/>
      <c r="X1175" s="94"/>
      <c r="Y1175" s="94">
        <v>100</v>
      </c>
      <c r="Z1175" s="94">
        <v>0</v>
      </c>
      <c r="AA1175" s="94">
        <v>0</v>
      </c>
      <c r="AB1175" s="94">
        <v>0</v>
      </c>
      <c r="AC1175" s="94"/>
      <c r="AE1175" s="1"/>
      <c r="AF1175" s="2"/>
      <c r="AG1175" s="1"/>
      <c r="AH1175" s="1"/>
      <c r="AI1175" s="1"/>
      <c r="AJ1175" s="1"/>
      <c r="AK1175" s="1"/>
      <c r="AL1175" s="1"/>
      <c r="AM1175" s="1"/>
      <c r="AN1175" s="1"/>
      <c r="AO1175" s="1"/>
      <c r="AP1175" s="1"/>
      <c r="AQ1175" s="1"/>
      <c r="AR1175" s="1"/>
      <c r="AS1175" s="1"/>
      <c r="AT1175" s="1"/>
      <c r="AU1175" s="1"/>
      <c r="AV1175" s="1"/>
      <c r="AW1175" s="1"/>
      <c r="AX1175" s="1"/>
      <c r="AY1175" s="1"/>
      <c r="AZ1175" s="1"/>
      <c r="BA1175" s="1"/>
      <c r="BB1175" s="1"/>
      <c r="BC1175" s="1"/>
      <c r="BD1175" s="1"/>
      <c r="BE1175" s="1"/>
      <c r="BF1175" s="1"/>
      <c r="BG1175" s="1"/>
      <c r="BH1175" s="1"/>
      <c r="BI1175" s="1"/>
      <c r="BJ1175" s="1"/>
      <c r="BK1175" s="1"/>
      <c r="BL1175" s="1"/>
      <c r="BM1175" s="1"/>
      <c r="BN1175" s="1"/>
      <c r="BO1175" s="1"/>
      <c r="BP1175" s="1"/>
      <c r="BQ1175" s="1"/>
      <c r="BR1175" s="1"/>
      <c r="BS1175" s="1"/>
      <c r="BT1175" s="1"/>
      <c r="BU1175" s="1"/>
      <c r="BV1175" s="1"/>
      <c r="BW1175" s="1"/>
      <c r="BX1175" s="1"/>
      <c r="BY1175" s="1"/>
      <c r="BZ1175" s="1"/>
      <c r="CA1175" s="1"/>
      <c r="CB1175" s="1"/>
      <c r="CC1175" s="1"/>
      <c r="CD1175" s="1"/>
      <c r="CE1175" s="1"/>
      <c r="CF1175" s="1"/>
    </row>
    <row r="1176" spans="1:84" s="3" customFormat="1" x14ac:dyDescent="0.2">
      <c r="A1176" s="17" t="s">
        <v>3921</v>
      </c>
      <c r="B1176" s="17" t="s">
        <v>45</v>
      </c>
      <c r="C1176" s="17">
        <v>2025</v>
      </c>
      <c r="D1176" s="17" t="str">
        <f t="array" ref="D1176">_xlfn.SWITCH(E1176,"Bagor","35.18.14","Sukomoro",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6" s="94" t="s">
        <v>29</v>
      </c>
      <c r="F1176" s="93" t="s">
        <v>2611</v>
      </c>
      <c r="G1176" s="93" t="s">
        <v>2620</v>
      </c>
      <c r="H1176" s="94" t="s">
        <v>31</v>
      </c>
      <c r="I1176" s="94">
        <v>1</v>
      </c>
      <c r="J1176" s="94">
        <v>1</v>
      </c>
      <c r="K1176" s="94">
        <f t="shared" si="25"/>
        <v>2</v>
      </c>
      <c r="L1176" s="95">
        <v>5000000</v>
      </c>
      <c r="M1176" s="96" t="s">
        <v>2163</v>
      </c>
      <c r="N1176" s="95">
        <f t="shared" si="29"/>
        <v>120</v>
      </c>
      <c r="O1176" s="94" t="s">
        <v>1398</v>
      </c>
      <c r="P1176" s="97">
        <f>N1176*15000</f>
        <v>1800000</v>
      </c>
      <c r="Q1176" s="96" t="s">
        <v>1059</v>
      </c>
      <c r="R1176" s="98">
        <f>N1176/3</f>
        <v>40</v>
      </c>
      <c r="S1176" s="94" t="s">
        <v>1538</v>
      </c>
      <c r="T1176" s="97">
        <f t="shared" si="28"/>
        <v>600000</v>
      </c>
      <c r="U1176" s="94" t="s">
        <v>22</v>
      </c>
      <c r="V1176" s="94"/>
      <c r="W1176" s="94"/>
      <c r="X1176" s="94"/>
      <c r="Y1176" s="94">
        <v>100</v>
      </c>
      <c r="Z1176" s="94">
        <v>0</v>
      </c>
      <c r="AA1176" s="94">
        <v>0</v>
      </c>
      <c r="AB1176" s="94">
        <v>0</v>
      </c>
      <c r="AC1176" s="94"/>
      <c r="AE1176" s="1"/>
      <c r="AF1176" s="2"/>
      <c r="AG1176" s="1"/>
      <c r="AH1176" s="1"/>
      <c r="AI1176" s="1"/>
      <c r="AJ1176" s="1"/>
      <c r="AK1176" s="1"/>
      <c r="AL1176" s="1"/>
      <c r="AM1176" s="1"/>
      <c r="AN1176" s="1"/>
      <c r="AO1176" s="1"/>
      <c r="AP1176" s="1"/>
      <c r="AQ1176" s="1"/>
      <c r="AR1176" s="1"/>
      <c r="AS1176" s="1"/>
      <c r="AT1176" s="1"/>
      <c r="AU1176" s="1"/>
      <c r="AV1176" s="1"/>
      <c r="AW1176" s="1"/>
      <c r="AX1176" s="1"/>
      <c r="AY1176" s="1"/>
      <c r="AZ1176" s="1"/>
      <c r="BA1176" s="1"/>
      <c r="BB1176" s="1"/>
      <c r="BC1176" s="1"/>
      <c r="BD1176" s="1"/>
      <c r="BE1176" s="1"/>
      <c r="BF1176" s="1"/>
      <c r="BG1176" s="1"/>
      <c r="BH1176" s="1"/>
      <c r="BI1176" s="1"/>
      <c r="BJ1176" s="1"/>
      <c r="BK1176" s="1"/>
      <c r="BL1176" s="1"/>
      <c r="BM1176" s="1"/>
      <c r="BN1176" s="1"/>
      <c r="BO1176" s="1"/>
      <c r="BP1176" s="1"/>
      <c r="BQ1176" s="1"/>
      <c r="BR1176" s="1"/>
      <c r="BS1176" s="1"/>
      <c r="BT1176" s="1"/>
      <c r="BU1176" s="1"/>
      <c r="BV1176" s="1"/>
      <c r="BW1176" s="1"/>
      <c r="BX1176" s="1"/>
      <c r="BY1176" s="1"/>
      <c r="BZ1176" s="1"/>
      <c r="CA1176" s="1"/>
      <c r="CB1176" s="1"/>
      <c r="CC1176" s="1"/>
      <c r="CD1176" s="1"/>
      <c r="CE1176" s="1"/>
      <c r="CF1176" s="1"/>
    </row>
    <row r="1177" spans="1:84" s="3" customFormat="1" x14ac:dyDescent="0.2">
      <c r="A1177" s="17" t="s">
        <v>3921</v>
      </c>
      <c r="B1177" s="17" t="s">
        <v>45</v>
      </c>
      <c r="C1177" s="17">
        <v>2025</v>
      </c>
      <c r="D1177" s="17" t="str">
        <f t="array" ref="D1177">_xlfn.SWITCH(E1177,"Bagor","35.18.14","Sukomoro",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7" s="94" t="s">
        <v>29</v>
      </c>
      <c r="F1177" s="93" t="s">
        <v>2611</v>
      </c>
      <c r="G1177" s="93" t="s">
        <v>2621</v>
      </c>
      <c r="H1177" s="94" t="s">
        <v>31</v>
      </c>
      <c r="I1177" s="94">
        <v>2</v>
      </c>
      <c r="J1177" s="94">
        <v>1</v>
      </c>
      <c r="K1177" s="94">
        <f t="shared" si="25"/>
        <v>3</v>
      </c>
      <c r="L1177" s="95">
        <v>3000000</v>
      </c>
      <c r="M1177" s="96" t="s">
        <v>2163</v>
      </c>
      <c r="N1177" s="95">
        <f t="shared" si="29"/>
        <v>180</v>
      </c>
      <c r="O1177" s="94" t="s">
        <v>1116</v>
      </c>
      <c r="P1177" s="97">
        <f>N1177*25000</f>
        <v>4500000</v>
      </c>
      <c r="Q1177" s="96" t="s">
        <v>1059</v>
      </c>
      <c r="R1177" s="98">
        <f>N1177/2</f>
        <v>90</v>
      </c>
      <c r="S1177" s="94" t="s">
        <v>1538</v>
      </c>
      <c r="T1177" s="97">
        <f t="shared" si="28"/>
        <v>1350000</v>
      </c>
      <c r="U1177" s="94" t="s">
        <v>22</v>
      </c>
      <c r="V1177" s="94"/>
      <c r="W1177" s="94"/>
      <c r="X1177" s="94"/>
      <c r="Y1177" s="94">
        <v>100</v>
      </c>
      <c r="Z1177" s="94">
        <v>0</v>
      </c>
      <c r="AA1177" s="94">
        <v>0</v>
      </c>
      <c r="AB1177" s="94">
        <v>0</v>
      </c>
      <c r="AC1177" s="94"/>
      <c r="AE1177" s="1"/>
      <c r="AF1177" s="2"/>
      <c r="AG1177" s="1"/>
      <c r="AH1177" s="1"/>
      <c r="AI1177" s="1"/>
      <c r="AJ1177" s="1"/>
      <c r="AK1177" s="1"/>
      <c r="AL1177" s="1"/>
      <c r="AM1177" s="1"/>
      <c r="AN1177" s="1"/>
      <c r="AO1177" s="1"/>
      <c r="AP1177" s="1"/>
      <c r="AQ1177" s="1"/>
      <c r="AR1177" s="1"/>
      <c r="AS1177" s="1"/>
      <c r="AT1177" s="1"/>
      <c r="AU1177" s="1"/>
      <c r="AV1177" s="1"/>
      <c r="AW1177" s="1"/>
      <c r="AX1177" s="1"/>
      <c r="AY1177" s="1"/>
      <c r="AZ1177" s="1"/>
      <c r="BA1177" s="1"/>
      <c r="BB1177" s="1"/>
      <c r="BC1177" s="1"/>
      <c r="BD1177" s="1"/>
      <c r="BE1177" s="1"/>
      <c r="BF1177" s="1"/>
      <c r="BG1177" s="1"/>
      <c r="BH1177" s="1"/>
      <c r="BI1177" s="1"/>
      <c r="BJ1177" s="1"/>
      <c r="BK1177" s="1"/>
      <c r="BL1177" s="1"/>
      <c r="BM1177" s="1"/>
      <c r="BN1177" s="1"/>
      <c r="BO1177" s="1"/>
      <c r="BP1177" s="1"/>
      <c r="BQ1177" s="1"/>
      <c r="BR1177" s="1"/>
      <c r="BS1177" s="1"/>
      <c r="BT1177" s="1"/>
      <c r="BU1177" s="1"/>
      <c r="BV1177" s="1"/>
      <c r="BW1177" s="1"/>
      <c r="BX1177" s="1"/>
      <c r="BY1177" s="1"/>
      <c r="BZ1177" s="1"/>
      <c r="CA1177" s="1"/>
      <c r="CB1177" s="1"/>
      <c r="CC1177" s="1"/>
      <c r="CD1177" s="1"/>
      <c r="CE1177" s="1"/>
      <c r="CF1177" s="1"/>
    </row>
    <row r="1178" spans="1:84" s="3" customFormat="1" x14ac:dyDescent="0.2">
      <c r="A1178" s="17" t="s">
        <v>3921</v>
      </c>
      <c r="B1178" s="17" t="s">
        <v>45</v>
      </c>
      <c r="C1178" s="17">
        <v>2025</v>
      </c>
      <c r="D1178" s="17" t="str">
        <f t="array" ref="D1178">_xlfn.SWITCH(E1178,"Bagor","35.18.14","Sukomoro",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8" s="94" t="s">
        <v>29</v>
      </c>
      <c r="F1178" s="93" t="s">
        <v>2611</v>
      </c>
      <c r="G1178" s="93" t="s">
        <v>2622</v>
      </c>
      <c r="H1178" s="94" t="s">
        <v>31</v>
      </c>
      <c r="I1178" s="94">
        <v>2</v>
      </c>
      <c r="J1178" s="94">
        <v>1</v>
      </c>
      <c r="K1178" s="94">
        <f t="shared" si="25"/>
        <v>3</v>
      </c>
      <c r="L1178" s="95">
        <v>2000000</v>
      </c>
      <c r="M1178" s="96" t="s">
        <v>2163</v>
      </c>
      <c r="N1178" s="95">
        <f t="shared" si="29"/>
        <v>180</v>
      </c>
      <c r="O1178" s="94" t="s">
        <v>1116</v>
      </c>
      <c r="P1178" s="97">
        <f>N1178*25000</f>
        <v>4500000</v>
      </c>
      <c r="Q1178" s="96" t="s">
        <v>1059</v>
      </c>
      <c r="R1178" s="98">
        <f>N1178/2</f>
        <v>90</v>
      </c>
      <c r="S1178" s="94" t="s">
        <v>1538</v>
      </c>
      <c r="T1178" s="97">
        <f t="shared" si="28"/>
        <v>1350000</v>
      </c>
      <c r="U1178" s="94" t="s">
        <v>22</v>
      </c>
      <c r="V1178" s="94"/>
      <c r="W1178" s="94"/>
      <c r="X1178" s="94"/>
      <c r="Y1178" s="94">
        <v>100</v>
      </c>
      <c r="Z1178" s="94">
        <v>0</v>
      </c>
      <c r="AA1178" s="94">
        <v>0</v>
      </c>
      <c r="AB1178" s="94">
        <v>0</v>
      </c>
      <c r="AC1178" s="94"/>
      <c r="AE1178" s="1"/>
      <c r="AF1178" s="2"/>
      <c r="AG1178" s="1"/>
      <c r="AH1178" s="1"/>
      <c r="AI1178" s="1"/>
      <c r="AJ1178" s="1"/>
      <c r="AK1178" s="1"/>
      <c r="AL1178" s="1"/>
      <c r="AM1178" s="1"/>
      <c r="AN1178" s="1"/>
      <c r="AO1178" s="1"/>
      <c r="AP1178" s="1"/>
      <c r="AQ1178" s="1"/>
      <c r="AR1178" s="1"/>
      <c r="AS1178" s="1"/>
      <c r="AT1178" s="1"/>
      <c r="AU1178" s="1"/>
      <c r="AV1178" s="1"/>
      <c r="AW1178" s="1"/>
      <c r="AX1178" s="1"/>
      <c r="AY1178" s="1"/>
      <c r="AZ1178" s="1"/>
      <c r="BA1178" s="1"/>
      <c r="BB1178" s="1"/>
      <c r="BC1178" s="1"/>
      <c r="BD1178" s="1"/>
      <c r="BE1178" s="1"/>
      <c r="BF1178" s="1"/>
      <c r="BG1178" s="1"/>
      <c r="BH1178" s="1"/>
      <c r="BI1178" s="1"/>
      <c r="BJ1178" s="1"/>
      <c r="BK1178" s="1"/>
      <c r="BL1178" s="1"/>
      <c r="BM1178" s="1"/>
      <c r="BN1178" s="1"/>
      <c r="BO1178" s="1"/>
      <c r="BP1178" s="1"/>
      <c r="BQ1178" s="1"/>
      <c r="BR1178" s="1"/>
      <c r="BS1178" s="1"/>
      <c r="BT1178" s="1"/>
      <c r="BU1178" s="1"/>
      <c r="BV1178" s="1"/>
      <c r="BW1178" s="1"/>
      <c r="BX1178" s="1"/>
      <c r="BY1178" s="1"/>
      <c r="BZ1178" s="1"/>
      <c r="CA1178" s="1"/>
      <c r="CB1178" s="1"/>
      <c r="CC1178" s="1"/>
      <c r="CD1178" s="1"/>
      <c r="CE1178" s="1"/>
      <c r="CF1178" s="1"/>
    </row>
    <row r="1179" spans="1:84" s="3" customFormat="1" x14ac:dyDescent="0.2">
      <c r="A1179" s="17" t="s">
        <v>3921</v>
      </c>
      <c r="B1179" s="17" t="s">
        <v>45</v>
      </c>
      <c r="C1179" s="17">
        <v>2025</v>
      </c>
      <c r="D1179" s="17" t="str">
        <f t="array" ref="D1179">_xlfn.SWITCH(E1179,"Bagor","35.18.14","Sukomoro",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9" s="94" t="s">
        <v>29</v>
      </c>
      <c r="F1179" s="93" t="s">
        <v>2611</v>
      </c>
      <c r="G1179" s="93" t="s">
        <v>2623</v>
      </c>
      <c r="H1179" s="94" t="s">
        <v>31</v>
      </c>
      <c r="I1179" s="94">
        <v>2</v>
      </c>
      <c r="J1179" s="94">
        <v>3</v>
      </c>
      <c r="K1179" s="94">
        <f t="shared" si="25"/>
        <v>5</v>
      </c>
      <c r="L1179" s="95">
        <v>5000000</v>
      </c>
      <c r="M1179" s="96" t="s">
        <v>2163</v>
      </c>
      <c r="N1179" s="95">
        <f t="shared" si="29"/>
        <v>300</v>
      </c>
      <c r="O1179" s="94" t="s">
        <v>1398</v>
      </c>
      <c r="P1179" s="97">
        <f t="shared" ref="P1179:P1184" si="30">N1179*15000</f>
        <v>4500000</v>
      </c>
      <c r="Q1179" s="96" t="s">
        <v>1059</v>
      </c>
      <c r="R1179" s="98">
        <f t="shared" ref="R1179:R1184" si="31">N1179/3</f>
        <v>100</v>
      </c>
      <c r="S1179" s="94" t="s">
        <v>1538</v>
      </c>
      <c r="T1179" s="97">
        <f t="shared" si="28"/>
        <v>1500000</v>
      </c>
      <c r="U1179" s="94" t="s">
        <v>22</v>
      </c>
      <c r="V1179" s="94"/>
      <c r="W1179" s="94"/>
      <c r="X1179" s="94"/>
      <c r="Y1179" s="94">
        <v>100</v>
      </c>
      <c r="Z1179" s="94">
        <v>0</v>
      </c>
      <c r="AA1179" s="94">
        <v>0</v>
      </c>
      <c r="AB1179" s="94">
        <v>0</v>
      </c>
      <c r="AC1179" s="94"/>
      <c r="AE1179" s="1"/>
      <c r="AF1179" s="2"/>
      <c r="AG1179" s="1"/>
      <c r="AH1179" s="1"/>
      <c r="AI1179" s="1"/>
      <c r="AJ1179" s="1"/>
      <c r="AK1179" s="1"/>
      <c r="AL1179" s="1"/>
      <c r="AM1179" s="1"/>
      <c r="AN1179" s="1"/>
      <c r="AO1179" s="1"/>
      <c r="AP1179" s="1"/>
      <c r="AQ1179" s="1"/>
      <c r="AR1179" s="1"/>
      <c r="AS1179" s="1"/>
      <c r="AT1179" s="1"/>
      <c r="AU1179" s="1"/>
      <c r="AV1179" s="1"/>
      <c r="AW1179" s="1"/>
      <c r="AX1179" s="1"/>
      <c r="AY1179" s="1"/>
      <c r="AZ1179" s="1"/>
      <c r="BA1179" s="1"/>
      <c r="BB1179" s="1"/>
      <c r="BC1179" s="1"/>
      <c r="BD1179" s="1"/>
      <c r="BE1179" s="1"/>
      <c r="BF1179" s="1"/>
      <c r="BG1179" s="1"/>
      <c r="BH1179" s="1"/>
      <c r="BI1179" s="1"/>
      <c r="BJ1179" s="1"/>
      <c r="BK1179" s="1"/>
      <c r="BL1179" s="1"/>
      <c r="BM1179" s="1"/>
      <c r="BN1179" s="1"/>
      <c r="BO1179" s="1"/>
      <c r="BP1179" s="1"/>
      <c r="BQ1179" s="1"/>
      <c r="BR1179" s="1"/>
      <c r="BS1179" s="1"/>
      <c r="BT1179" s="1"/>
      <c r="BU1179" s="1"/>
      <c r="BV1179" s="1"/>
      <c r="BW1179" s="1"/>
      <c r="BX1179" s="1"/>
      <c r="BY1179" s="1"/>
      <c r="BZ1179" s="1"/>
      <c r="CA1179" s="1"/>
      <c r="CB1179" s="1"/>
      <c r="CC1179" s="1"/>
      <c r="CD1179" s="1"/>
      <c r="CE1179" s="1"/>
      <c r="CF1179" s="1"/>
    </row>
    <row r="1180" spans="1:84" s="3" customFormat="1" x14ac:dyDescent="0.2">
      <c r="A1180" s="17" t="s">
        <v>3921</v>
      </c>
      <c r="B1180" s="17" t="s">
        <v>45</v>
      </c>
      <c r="C1180" s="17">
        <v>2025</v>
      </c>
      <c r="D1180" s="17" t="str">
        <f t="array" ref="D1180">_xlfn.SWITCH(E1180,"Bagor","35.18.14","Sukomoro",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0" s="94" t="s">
        <v>29</v>
      </c>
      <c r="F1180" s="93" t="s">
        <v>2611</v>
      </c>
      <c r="G1180" s="93" t="s">
        <v>2624</v>
      </c>
      <c r="H1180" s="94" t="s">
        <v>31</v>
      </c>
      <c r="I1180" s="94">
        <v>1</v>
      </c>
      <c r="J1180" s="94">
        <v>1</v>
      </c>
      <c r="K1180" s="94">
        <f t="shared" si="25"/>
        <v>2</v>
      </c>
      <c r="L1180" s="95">
        <v>2000000</v>
      </c>
      <c r="M1180" s="96" t="s">
        <v>2163</v>
      </c>
      <c r="N1180" s="95">
        <f t="shared" si="29"/>
        <v>120</v>
      </c>
      <c r="O1180" s="94" t="s">
        <v>1398</v>
      </c>
      <c r="P1180" s="97">
        <f t="shared" si="30"/>
        <v>1800000</v>
      </c>
      <c r="Q1180" s="96" t="s">
        <v>1059</v>
      </c>
      <c r="R1180" s="98">
        <f t="shared" si="31"/>
        <v>40</v>
      </c>
      <c r="S1180" s="94" t="s">
        <v>1538</v>
      </c>
      <c r="T1180" s="97">
        <f t="shared" si="28"/>
        <v>600000</v>
      </c>
      <c r="U1180" s="94" t="s">
        <v>22</v>
      </c>
      <c r="V1180" s="94"/>
      <c r="W1180" s="94"/>
      <c r="X1180" s="94"/>
      <c r="Y1180" s="94">
        <v>100</v>
      </c>
      <c r="Z1180" s="94">
        <v>0</v>
      </c>
      <c r="AA1180" s="94">
        <v>0</v>
      </c>
      <c r="AB1180" s="94">
        <v>0</v>
      </c>
      <c r="AC1180" s="94"/>
      <c r="AE1180" s="1"/>
      <c r="AF1180" s="2"/>
      <c r="AG1180" s="1"/>
      <c r="AH1180" s="1"/>
      <c r="AI1180" s="1"/>
      <c r="AJ1180" s="1"/>
      <c r="AK1180" s="1"/>
      <c r="AL1180" s="1"/>
      <c r="AM1180" s="1"/>
      <c r="AN1180" s="1"/>
      <c r="AO1180" s="1"/>
      <c r="AP1180" s="1"/>
      <c r="AQ1180" s="1"/>
      <c r="AR1180" s="1"/>
      <c r="AS1180" s="1"/>
      <c r="AT1180" s="1"/>
      <c r="AU1180" s="1"/>
      <c r="AV1180" s="1"/>
      <c r="AW1180" s="1"/>
      <c r="AX1180" s="1"/>
      <c r="AY1180" s="1"/>
      <c r="AZ1180" s="1"/>
      <c r="BA1180" s="1"/>
      <c r="BB1180" s="1"/>
      <c r="BC1180" s="1"/>
      <c r="BD1180" s="1"/>
      <c r="BE1180" s="1"/>
      <c r="BF1180" s="1"/>
      <c r="BG1180" s="1"/>
      <c r="BH1180" s="1"/>
      <c r="BI1180" s="1"/>
      <c r="BJ1180" s="1"/>
      <c r="BK1180" s="1"/>
      <c r="BL1180" s="1"/>
      <c r="BM1180" s="1"/>
      <c r="BN1180" s="1"/>
      <c r="BO1180" s="1"/>
      <c r="BP1180" s="1"/>
      <c r="BQ1180" s="1"/>
      <c r="BR1180" s="1"/>
      <c r="BS1180" s="1"/>
      <c r="BT1180" s="1"/>
      <c r="BU1180" s="1"/>
      <c r="BV1180" s="1"/>
      <c r="BW1180" s="1"/>
      <c r="BX1180" s="1"/>
      <c r="BY1180" s="1"/>
      <c r="BZ1180" s="1"/>
      <c r="CA1180" s="1"/>
      <c r="CB1180" s="1"/>
      <c r="CC1180" s="1"/>
      <c r="CD1180" s="1"/>
      <c r="CE1180" s="1"/>
      <c r="CF1180" s="1"/>
    </row>
    <row r="1181" spans="1:84" s="3" customFormat="1" x14ac:dyDescent="0.2">
      <c r="A1181" s="17" t="s">
        <v>3921</v>
      </c>
      <c r="B1181" s="17" t="s">
        <v>45</v>
      </c>
      <c r="C1181" s="17">
        <v>2025</v>
      </c>
      <c r="D1181" s="17" t="str">
        <f t="array" ref="D1181">_xlfn.SWITCH(E1181,"Bagor","35.18.14","Sukomoro",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1" s="94" t="s">
        <v>29</v>
      </c>
      <c r="F1181" s="93" t="s">
        <v>2611</v>
      </c>
      <c r="G1181" s="93" t="s">
        <v>2625</v>
      </c>
      <c r="H1181" s="94" t="s">
        <v>31</v>
      </c>
      <c r="I1181" s="94">
        <v>2</v>
      </c>
      <c r="J1181" s="94">
        <v>2</v>
      </c>
      <c r="K1181" s="94">
        <f t="shared" si="25"/>
        <v>4</v>
      </c>
      <c r="L1181" s="95">
        <v>3000000</v>
      </c>
      <c r="M1181" s="96" t="s">
        <v>2163</v>
      </c>
      <c r="N1181" s="95">
        <f t="shared" si="29"/>
        <v>240</v>
      </c>
      <c r="O1181" s="94" t="s">
        <v>1398</v>
      </c>
      <c r="P1181" s="97">
        <f t="shared" si="30"/>
        <v>3600000</v>
      </c>
      <c r="Q1181" s="96" t="s">
        <v>1059</v>
      </c>
      <c r="R1181" s="98">
        <f t="shared" si="31"/>
        <v>80</v>
      </c>
      <c r="S1181" s="94" t="s">
        <v>1538</v>
      </c>
      <c r="T1181" s="97">
        <f t="shared" si="28"/>
        <v>1200000</v>
      </c>
      <c r="U1181" s="94" t="s">
        <v>22</v>
      </c>
      <c r="V1181" s="94"/>
      <c r="W1181" s="94"/>
      <c r="X1181" s="94"/>
      <c r="Y1181" s="94">
        <v>100</v>
      </c>
      <c r="Z1181" s="94">
        <v>0</v>
      </c>
      <c r="AA1181" s="94">
        <v>0</v>
      </c>
      <c r="AB1181" s="94">
        <v>0</v>
      </c>
      <c r="AC1181" s="94"/>
      <c r="AE1181" s="1"/>
      <c r="AF1181" s="2"/>
      <c r="AG1181" s="1"/>
      <c r="AH1181" s="1"/>
      <c r="AI1181" s="1"/>
      <c r="AJ1181" s="1"/>
      <c r="AK1181" s="1"/>
      <c r="AL1181" s="1"/>
      <c r="AM1181" s="1"/>
      <c r="AN1181" s="1"/>
      <c r="AO1181" s="1"/>
      <c r="AP1181" s="1"/>
      <c r="AQ1181" s="1"/>
      <c r="AR1181" s="1"/>
      <c r="AS1181" s="1"/>
      <c r="AT1181" s="1"/>
      <c r="AU1181" s="1"/>
      <c r="AV1181" s="1"/>
      <c r="AW1181" s="1"/>
      <c r="AX1181" s="1"/>
      <c r="AY1181" s="1"/>
      <c r="AZ1181" s="1"/>
      <c r="BA1181" s="1"/>
      <c r="BB1181" s="1"/>
      <c r="BC1181" s="1"/>
      <c r="BD1181" s="1"/>
      <c r="BE1181" s="1"/>
      <c r="BF1181" s="1"/>
      <c r="BG1181" s="1"/>
      <c r="BH1181" s="1"/>
      <c r="BI1181" s="1"/>
      <c r="BJ1181" s="1"/>
      <c r="BK1181" s="1"/>
      <c r="BL1181" s="1"/>
      <c r="BM1181" s="1"/>
      <c r="BN1181" s="1"/>
      <c r="BO1181" s="1"/>
      <c r="BP1181" s="1"/>
      <c r="BQ1181" s="1"/>
      <c r="BR1181" s="1"/>
      <c r="BS1181" s="1"/>
      <c r="BT1181" s="1"/>
      <c r="BU1181" s="1"/>
      <c r="BV1181" s="1"/>
      <c r="BW1181" s="1"/>
      <c r="BX1181" s="1"/>
      <c r="BY1181" s="1"/>
      <c r="BZ1181" s="1"/>
      <c r="CA1181" s="1"/>
      <c r="CB1181" s="1"/>
      <c r="CC1181" s="1"/>
      <c r="CD1181" s="1"/>
      <c r="CE1181" s="1"/>
      <c r="CF1181" s="1"/>
    </row>
    <row r="1182" spans="1:84" s="3" customFormat="1" x14ac:dyDescent="0.2">
      <c r="A1182" s="17" t="s">
        <v>3921</v>
      </c>
      <c r="B1182" s="17" t="s">
        <v>45</v>
      </c>
      <c r="C1182" s="17">
        <v>2025</v>
      </c>
      <c r="D1182" s="17" t="str">
        <f t="array" ref="D1182">_xlfn.SWITCH(E1182,"Bagor","35.18.14","Sukomoro",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2" s="94" t="s">
        <v>29</v>
      </c>
      <c r="F1182" s="93" t="s">
        <v>2611</v>
      </c>
      <c r="G1182" s="93" t="s">
        <v>2626</v>
      </c>
      <c r="H1182" s="94" t="s">
        <v>31</v>
      </c>
      <c r="I1182" s="94">
        <v>1</v>
      </c>
      <c r="J1182" s="94">
        <v>2</v>
      </c>
      <c r="K1182" s="94">
        <f t="shared" si="25"/>
        <v>3</v>
      </c>
      <c r="L1182" s="95">
        <v>3000000</v>
      </c>
      <c r="M1182" s="96" t="s">
        <v>2163</v>
      </c>
      <c r="N1182" s="95">
        <f t="shared" si="29"/>
        <v>180</v>
      </c>
      <c r="O1182" s="94" t="s">
        <v>1398</v>
      </c>
      <c r="P1182" s="97">
        <f t="shared" si="30"/>
        <v>2700000</v>
      </c>
      <c r="Q1182" s="96" t="s">
        <v>1059</v>
      </c>
      <c r="R1182" s="98">
        <f t="shared" si="31"/>
        <v>60</v>
      </c>
      <c r="S1182" s="94" t="s">
        <v>1538</v>
      </c>
      <c r="T1182" s="97">
        <f t="shared" si="28"/>
        <v>900000</v>
      </c>
      <c r="U1182" s="94" t="s">
        <v>22</v>
      </c>
      <c r="V1182" s="94"/>
      <c r="W1182" s="94"/>
      <c r="X1182" s="94"/>
      <c r="Y1182" s="94">
        <v>100</v>
      </c>
      <c r="Z1182" s="94">
        <v>0</v>
      </c>
      <c r="AA1182" s="94">
        <v>0</v>
      </c>
      <c r="AB1182" s="94">
        <v>0</v>
      </c>
      <c r="AC1182" s="94"/>
      <c r="AE1182" s="1"/>
      <c r="AF1182" s="2"/>
      <c r="AG1182" s="1"/>
      <c r="AH1182" s="1"/>
      <c r="AI1182" s="1"/>
      <c r="AJ1182" s="1"/>
      <c r="AK1182" s="1"/>
      <c r="AL1182" s="1"/>
      <c r="AM1182" s="1"/>
      <c r="AN1182" s="1"/>
      <c r="AO1182" s="1"/>
      <c r="AP1182" s="1"/>
      <c r="AQ1182" s="1"/>
      <c r="AR1182" s="1"/>
      <c r="AS1182" s="1"/>
      <c r="AT1182" s="1"/>
      <c r="AU1182" s="1"/>
      <c r="AV1182" s="1"/>
      <c r="AW1182" s="1"/>
      <c r="AX1182" s="1"/>
      <c r="AY1182" s="1"/>
      <c r="AZ1182" s="1"/>
      <c r="BA1182" s="1"/>
      <c r="BB1182" s="1"/>
      <c r="BC1182" s="1"/>
      <c r="BD1182" s="1"/>
      <c r="BE1182" s="1"/>
      <c r="BF1182" s="1"/>
      <c r="BG1182" s="1"/>
      <c r="BH1182" s="1"/>
      <c r="BI1182" s="1"/>
      <c r="BJ1182" s="1"/>
      <c r="BK1182" s="1"/>
      <c r="BL1182" s="1"/>
      <c r="BM1182" s="1"/>
      <c r="BN1182" s="1"/>
      <c r="BO1182" s="1"/>
      <c r="BP1182" s="1"/>
      <c r="BQ1182" s="1"/>
      <c r="BR1182" s="1"/>
      <c r="BS1182" s="1"/>
      <c r="BT1182" s="1"/>
      <c r="BU1182" s="1"/>
      <c r="BV1182" s="1"/>
      <c r="BW1182" s="1"/>
      <c r="BX1182" s="1"/>
      <c r="BY1182" s="1"/>
      <c r="BZ1182" s="1"/>
      <c r="CA1182" s="1"/>
      <c r="CB1182" s="1"/>
      <c r="CC1182" s="1"/>
      <c r="CD1182" s="1"/>
      <c r="CE1182" s="1"/>
      <c r="CF1182" s="1"/>
    </row>
    <row r="1183" spans="1:84" s="3" customFormat="1" x14ac:dyDescent="0.2">
      <c r="A1183" s="17" t="s">
        <v>3921</v>
      </c>
      <c r="B1183" s="17" t="s">
        <v>45</v>
      </c>
      <c r="C1183" s="17">
        <v>2025</v>
      </c>
      <c r="D1183" s="17" t="str">
        <f t="array" ref="D1183">_xlfn.SWITCH(E1183,"Bagor","35.18.14","Sukomoro",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3" s="94" t="s">
        <v>29</v>
      </c>
      <c r="F1183" s="93" t="s">
        <v>2611</v>
      </c>
      <c r="G1183" s="93" t="s">
        <v>2627</v>
      </c>
      <c r="H1183" s="94" t="s">
        <v>31</v>
      </c>
      <c r="I1183" s="94">
        <v>1</v>
      </c>
      <c r="J1183" s="94">
        <v>1</v>
      </c>
      <c r="K1183" s="94">
        <f t="shared" si="25"/>
        <v>2</v>
      </c>
      <c r="L1183" s="95">
        <v>2000000</v>
      </c>
      <c r="M1183" s="96" t="s">
        <v>2163</v>
      </c>
      <c r="N1183" s="95">
        <f t="shared" si="29"/>
        <v>120</v>
      </c>
      <c r="O1183" s="94" t="s">
        <v>1398</v>
      </c>
      <c r="P1183" s="97">
        <f t="shared" si="30"/>
        <v>1800000</v>
      </c>
      <c r="Q1183" s="96" t="s">
        <v>1059</v>
      </c>
      <c r="R1183" s="98">
        <f t="shared" si="31"/>
        <v>40</v>
      </c>
      <c r="S1183" s="94" t="s">
        <v>1538</v>
      </c>
      <c r="T1183" s="97">
        <f t="shared" si="28"/>
        <v>600000</v>
      </c>
      <c r="U1183" s="94" t="s">
        <v>22</v>
      </c>
      <c r="V1183" s="94"/>
      <c r="W1183" s="94"/>
      <c r="X1183" s="94"/>
      <c r="Y1183" s="94">
        <v>100</v>
      </c>
      <c r="Z1183" s="94">
        <v>0</v>
      </c>
      <c r="AA1183" s="94">
        <v>0</v>
      </c>
      <c r="AB1183" s="94">
        <v>0</v>
      </c>
      <c r="AC1183" s="94"/>
      <c r="AE1183" s="1"/>
      <c r="AF1183" s="2"/>
      <c r="AG1183" s="1"/>
      <c r="AH1183" s="1"/>
      <c r="AI1183" s="1"/>
      <c r="AJ1183" s="1"/>
      <c r="AK1183" s="1"/>
      <c r="AL1183" s="1"/>
      <c r="AM1183" s="1"/>
      <c r="AN1183" s="1"/>
      <c r="AO1183" s="1"/>
      <c r="AP1183" s="1"/>
      <c r="AQ1183" s="1"/>
      <c r="AR1183" s="1"/>
      <c r="AS1183" s="1"/>
      <c r="AT1183" s="1"/>
      <c r="AU1183" s="1"/>
      <c r="AV1183" s="1"/>
      <c r="AW1183" s="1"/>
      <c r="AX1183" s="1"/>
      <c r="AY1183" s="1"/>
      <c r="AZ1183" s="1"/>
      <c r="BA1183" s="1"/>
      <c r="BB1183" s="1"/>
      <c r="BC1183" s="1"/>
      <c r="BD1183" s="1"/>
      <c r="BE1183" s="1"/>
      <c r="BF1183" s="1"/>
      <c r="BG1183" s="1"/>
      <c r="BH1183" s="1"/>
      <c r="BI1183" s="1"/>
      <c r="BJ1183" s="1"/>
      <c r="BK1183" s="1"/>
      <c r="BL1183" s="1"/>
      <c r="BM1183" s="1"/>
      <c r="BN1183" s="1"/>
      <c r="BO1183" s="1"/>
      <c r="BP1183" s="1"/>
      <c r="BQ1183" s="1"/>
      <c r="BR1183" s="1"/>
      <c r="BS1183" s="1"/>
      <c r="BT1183" s="1"/>
      <c r="BU1183" s="1"/>
      <c r="BV1183" s="1"/>
      <c r="BW1183" s="1"/>
      <c r="BX1183" s="1"/>
      <c r="BY1183" s="1"/>
      <c r="BZ1183" s="1"/>
      <c r="CA1183" s="1"/>
      <c r="CB1183" s="1"/>
      <c r="CC1183" s="1"/>
      <c r="CD1183" s="1"/>
      <c r="CE1183" s="1"/>
      <c r="CF1183" s="1"/>
    </row>
    <row r="1184" spans="1:84" s="3" customFormat="1" x14ac:dyDescent="0.2">
      <c r="A1184" s="17" t="s">
        <v>3921</v>
      </c>
      <c r="B1184" s="17" t="s">
        <v>45</v>
      </c>
      <c r="C1184" s="17">
        <v>2025</v>
      </c>
      <c r="D1184" s="17" t="str">
        <f t="array" ref="D1184">_xlfn.SWITCH(E1184,"Bagor","35.18.14","Sukomoro",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4" s="94" t="s">
        <v>29</v>
      </c>
      <c r="F1184" s="93" t="s">
        <v>2611</v>
      </c>
      <c r="G1184" s="93" t="s">
        <v>2628</v>
      </c>
      <c r="H1184" s="94" t="s">
        <v>31</v>
      </c>
      <c r="I1184" s="94">
        <v>1</v>
      </c>
      <c r="J1184" s="94">
        <v>1</v>
      </c>
      <c r="K1184" s="94">
        <f t="shared" si="25"/>
        <v>2</v>
      </c>
      <c r="L1184" s="95">
        <v>1000000</v>
      </c>
      <c r="M1184" s="96" t="s">
        <v>2163</v>
      </c>
      <c r="N1184" s="95">
        <f t="shared" si="29"/>
        <v>120</v>
      </c>
      <c r="O1184" s="94" t="s">
        <v>1398</v>
      </c>
      <c r="P1184" s="97">
        <f t="shared" si="30"/>
        <v>1800000</v>
      </c>
      <c r="Q1184" s="96" t="s">
        <v>1059</v>
      </c>
      <c r="R1184" s="98">
        <f t="shared" si="31"/>
        <v>40</v>
      </c>
      <c r="S1184" s="94" t="s">
        <v>1538</v>
      </c>
      <c r="T1184" s="97">
        <f t="shared" si="28"/>
        <v>600000</v>
      </c>
      <c r="U1184" s="94" t="s">
        <v>22</v>
      </c>
      <c r="V1184" s="94"/>
      <c r="W1184" s="94"/>
      <c r="X1184" s="94"/>
      <c r="Y1184" s="94">
        <v>100</v>
      </c>
      <c r="Z1184" s="94">
        <v>0</v>
      </c>
      <c r="AA1184" s="94">
        <v>0</v>
      </c>
      <c r="AB1184" s="94">
        <v>0</v>
      </c>
      <c r="AC1184" s="94"/>
      <c r="AE1184" s="1"/>
      <c r="AF1184" s="2"/>
      <c r="AG1184" s="1"/>
      <c r="AH1184" s="1"/>
      <c r="AI1184" s="1"/>
      <c r="AJ1184" s="1"/>
      <c r="AK1184" s="1"/>
      <c r="AL1184" s="1"/>
      <c r="AM1184" s="1"/>
      <c r="AN1184" s="1"/>
      <c r="AO1184" s="1"/>
      <c r="AP1184" s="1"/>
      <c r="AQ1184" s="1"/>
      <c r="AR1184" s="1"/>
      <c r="AS1184" s="1"/>
      <c r="AT1184" s="1"/>
      <c r="AU1184" s="1"/>
      <c r="AV1184" s="1"/>
      <c r="AW1184" s="1"/>
      <c r="AX1184" s="1"/>
      <c r="AY1184" s="1"/>
      <c r="AZ1184" s="1"/>
      <c r="BA1184" s="1"/>
      <c r="BB1184" s="1"/>
      <c r="BC1184" s="1"/>
      <c r="BD1184" s="1"/>
      <c r="BE1184" s="1"/>
      <c r="BF1184" s="1"/>
      <c r="BG1184" s="1"/>
      <c r="BH1184" s="1"/>
      <c r="BI1184" s="1"/>
      <c r="BJ1184" s="1"/>
      <c r="BK1184" s="1"/>
      <c r="BL1184" s="1"/>
      <c r="BM1184" s="1"/>
      <c r="BN1184" s="1"/>
      <c r="BO1184" s="1"/>
      <c r="BP1184" s="1"/>
      <c r="BQ1184" s="1"/>
      <c r="BR1184" s="1"/>
      <c r="BS1184" s="1"/>
      <c r="BT1184" s="1"/>
      <c r="BU1184" s="1"/>
      <c r="BV1184" s="1"/>
      <c r="BW1184" s="1"/>
      <c r="BX1184" s="1"/>
      <c r="BY1184" s="1"/>
      <c r="BZ1184" s="1"/>
      <c r="CA1184" s="1"/>
      <c r="CB1184" s="1"/>
      <c r="CC1184" s="1"/>
      <c r="CD1184" s="1"/>
      <c r="CE1184" s="1"/>
      <c r="CF1184" s="1"/>
    </row>
    <row r="1185" spans="1:84" s="3" customFormat="1" x14ac:dyDescent="0.2">
      <c r="A1185" s="17" t="s">
        <v>3921</v>
      </c>
      <c r="B1185" s="17" t="s">
        <v>45</v>
      </c>
      <c r="C1185" s="17">
        <v>2025</v>
      </c>
      <c r="D1185" s="17" t="str">
        <f t="array" ref="D1185">_xlfn.SWITCH(E1185,"Bagor","35.18.14","Sukomoro",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5" s="94" t="s">
        <v>29</v>
      </c>
      <c r="F1185" s="93" t="s">
        <v>2611</v>
      </c>
      <c r="G1185" s="93" t="s">
        <v>2629</v>
      </c>
      <c r="H1185" s="94" t="s">
        <v>31</v>
      </c>
      <c r="I1185" s="94">
        <v>2</v>
      </c>
      <c r="J1185" s="94">
        <v>2</v>
      </c>
      <c r="K1185" s="94">
        <f t="shared" si="25"/>
        <v>4</v>
      </c>
      <c r="L1185" s="95">
        <v>2000000</v>
      </c>
      <c r="M1185" s="96" t="s">
        <v>2163</v>
      </c>
      <c r="N1185" s="95">
        <f t="shared" si="29"/>
        <v>240</v>
      </c>
      <c r="O1185" s="94" t="s">
        <v>1116</v>
      </c>
      <c r="P1185" s="97">
        <f>N1185*25000</f>
        <v>6000000</v>
      </c>
      <c r="Q1185" s="96" t="s">
        <v>1059</v>
      </c>
      <c r="R1185" s="98">
        <f>N1185/2</f>
        <v>120</v>
      </c>
      <c r="S1185" s="94" t="s">
        <v>1538</v>
      </c>
      <c r="T1185" s="97">
        <f t="shared" si="28"/>
        <v>1800000</v>
      </c>
      <c r="U1185" s="94" t="s">
        <v>22</v>
      </c>
      <c r="V1185" s="94"/>
      <c r="W1185" s="94"/>
      <c r="X1185" s="94"/>
      <c r="Y1185" s="94">
        <v>100</v>
      </c>
      <c r="Z1185" s="94">
        <v>0</v>
      </c>
      <c r="AA1185" s="94">
        <v>0</v>
      </c>
      <c r="AB1185" s="94">
        <v>0</v>
      </c>
      <c r="AC1185" s="94"/>
      <c r="AE1185" s="1"/>
      <c r="AF1185" s="2"/>
      <c r="AG1185" s="1"/>
      <c r="AH1185" s="1"/>
      <c r="AI1185" s="1"/>
      <c r="AJ1185" s="1"/>
      <c r="AK1185" s="1"/>
      <c r="AL1185" s="1"/>
      <c r="AM1185" s="1"/>
      <c r="AN1185" s="1"/>
      <c r="AO1185" s="1"/>
      <c r="AP1185" s="1"/>
      <c r="AQ1185" s="1"/>
      <c r="AR1185" s="1"/>
      <c r="AS1185" s="1"/>
      <c r="AT1185" s="1"/>
      <c r="AU1185" s="1"/>
      <c r="AV1185" s="1"/>
      <c r="AW1185" s="1"/>
      <c r="AX1185" s="1"/>
      <c r="AY1185" s="1"/>
      <c r="AZ1185" s="1"/>
      <c r="BA1185" s="1"/>
      <c r="BB1185" s="1"/>
      <c r="BC1185" s="1"/>
      <c r="BD1185" s="1"/>
      <c r="BE1185" s="1"/>
      <c r="BF1185" s="1"/>
      <c r="BG1185" s="1"/>
      <c r="BH1185" s="1"/>
      <c r="BI1185" s="1"/>
      <c r="BJ1185" s="1"/>
      <c r="BK1185" s="1"/>
      <c r="BL1185" s="1"/>
      <c r="BM1185" s="1"/>
      <c r="BN1185" s="1"/>
      <c r="BO1185" s="1"/>
      <c r="BP1185" s="1"/>
      <c r="BQ1185" s="1"/>
      <c r="BR1185" s="1"/>
      <c r="BS1185" s="1"/>
      <c r="BT1185" s="1"/>
      <c r="BU1185" s="1"/>
      <c r="BV1185" s="1"/>
      <c r="BW1185" s="1"/>
      <c r="BX1185" s="1"/>
      <c r="BY1185" s="1"/>
      <c r="BZ1185" s="1"/>
      <c r="CA1185" s="1"/>
      <c r="CB1185" s="1"/>
      <c r="CC1185" s="1"/>
      <c r="CD1185" s="1"/>
      <c r="CE1185" s="1"/>
      <c r="CF1185" s="1"/>
    </row>
    <row r="1186" spans="1:84" s="3" customFormat="1" x14ac:dyDescent="0.2">
      <c r="A1186" s="17" t="s">
        <v>3921</v>
      </c>
      <c r="B1186" s="17" t="s">
        <v>45</v>
      </c>
      <c r="C1186" s="17">
        <v>2025</v>
      </c>
      <c r="D1186" s="17" t="str">
        <f t="array" ref="D1186">_xlfn.SWITCH(E1186,"Bagor","35.18.14","Sukomoro",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6" s="94" t="s">
        <v>29</v>
      </c>
      <c r="F1186" s="93" t="s">
        <v>2611</v>
      </c>
      <c r="G1186" s="93" t="s">
        <v>2630</v>
      </c>
      <c r="H1186" s="94" t="s">
        <v>31</v>
      </c>
      <c r="I1186" s="94">
        <v>2</v>
      </c>
      <c r="J1186" s="94">
        <v>1</v>
      </c>
      <c r="K1186" s="94">
        <f t="shared" si="25"/>
        <v>3</v>
      </c>
      <c r="L1186" s="95">
        <v>2500000</v>
      </c>
      <c r="M1186" s="96" t="s">
        <v>2163</v>
      </c>
      <c r="N1186" s="95">
        <f t="shared" si="29"/>
        <v>180</v>
      </c>
      <c r="O1186" s="94" t="s">
        <v>1398</v>
      </c>
      <c r="P1186" s="97">
        <f>N1186*15000</f>
        <v>2700000</v>
      </c>
      <c r="Q1186" s="96" t="s">
        <v>1059</v>
      </c>
      <c r="R1186" s="98">
        <f>N1186/3</f>
        <v>60</v>
      </c>
      <c r="S1186" s="94" t="s">
        <v>1538</v>
      </c>
      <c r="T1186" s="97">
        <f t="shared" si="28"/>
        <v>900000</v>
      </c>
      <c r="U1186" s="94" t="s">
        <v>22</v>
      </c>
      <c r="V1186" s="94"/>
      <c r="W1186" s="94"/>
      <c r="X1186" s="94"/>
      <c r="Y1186" s="94">
        <v>100</v>
      </c>
      <c r="Z1186" s="94">
        <v>0</v>
      </c>
      <c r="AA1186" s="94">
        <v>0</v>
      </c>
      <c r="AB1186" s="94">
        <v>0</v>
      </c>
      <c r="AC1186" s="94"/>
      <c r="AE1186" s="1"/>
      <c r="AF1186" s="2"/>
      <c r="AG1186" s="1"/>
      <c r="AH1186" s="1"/>
      <c r="AI1186" s="1"/>
      <c r="AJ1186" s="1"/>
      <c r="AK1186" s="1"/>
      <c r="AL1186" s="1"/>
      <c r="AM1186" s="1"/>
      <c r="AN1186" s="1"/>
      <c r="AO1186" s="1"/>
      <c r="AP1186" s="1"/>
      <c r="AQ1186" s="1"/>
      <c r="AR1186" s="1"/>
      <c r="AS1186" s="1"/>
      <c r="AT1186" s="1"/>
      <c r="AU1186" s="1"/>
      <c r="AV1186" s="1"/>
      <c r="AW1186" s="1"/>
      <c r="AX1186" s="1"/>
      <c r="AY1186" s="1"/>
      <c r="AZ1186" s="1"/>
      <c r="BA1186" s="1"/>
      <c r="BB1186" s="1"/>
      <c r="BC1186" s="1"/>
      <c r="BD1186" s="1"/>
      <c r="BE1186" s="1"/>
      <c r="BF1186" s="1"/>
      <c r="BG1186" s="1"/>
      <c r="BH1186" s="1"/>
      <c r="BI1186" s="1"/>
      <c r="BJ1186" s="1"/>
      <c r="BK1186" s="1"/>
      <c r="BL1186" s="1"/>
      <c r="BM1186" s="1"/>
      <c r="BN1186" s="1"/>
      <c r="BO1186" s="1"/>
      <c r="BP1186" s="1"/>
      <c r="BQ1186" s="1"/>
      <c r="BR1186" s="1"/>
      <c r="BS1186" s="1"/>
      <c r="BT1186" s="1"/>
      <c r="BU1186" s="1"/>
      <c r="BV1186" s="1"/>
      <c r="BW1186" s="1"/>
      <c r="BX1186" s="1"/>
      <c r="BY1186" s="1"/>
      <c r="BZ1186" s="1"/>
      <c r="CA1186" s="1"/>
      <c r="CB1186" s="1"/>
      <c r="CC1186" s="1"/>
      <c r="CD1186" s="1"/>
      <c r="CE1186" s="1"/>
      <c r="CF1186" s="1"/>
    </row>
    <row r="1187" spans="1:84" s="3" customFormat="1" x14ac:dyDescent="0.2">
      <c r="A1187" s="17" t="s">
        <v>3921</v>
      </c>
      <c r="B1187" s="17" t="s">
        <v>45</v>
      </c>
      <c r="C1187" s="17">
        <v>2025</v>
      </c>
      <c r="D1187" s="17" t="str">
        <f t="array" ref="D1187">_xlfn.SWITCH(E1187,"Bagor","35.18.14","Sukomoro",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7" s="94" t="s">
        <v>29</v>
      </c>
      <c r="F1187" s="93" t="s">
        <v>2611</v>
      </c>
      <c r="G1187" s="93" t="s">
        <v>2631</v>
      </c>
      <c r="H1187" s="94" t="s">
        <v>31</v>
      </c>
      <c r="I1187" s="94">
        <v>2</v>
      </c>
      <c r="J1187" s="94">
        <v>1</v>
      </c>
      <c r="K1187" s="94">
        <f t="shared" si="25"/>
        <v>3</v>
      </c>
      <c r="L1187" s="95">
        <v>3000000</v>
      </c>
      <c r="M1187" s="96" t="s">
        <v>2163</v>
      </c>
      <c r="N1187" s="95">
        <f t="shared" si="29"/>
        <v>180</v>
      </c>
      <c r="O1187" s="94" t="s">
        <v>1116</v>
      </c>
      <c r="P1187" s="97">
        <f>N1187*25000</f>
        <v>4500000</v>
      </c>
      <c r="Q1187" s="96" t="s">
        <v>1059</v>
      </c>
      <c r="R1187" s="98">
        <f>N1187/2</f>
        <v>90</v>
      </c>
      <c r="S1187" s="94" t="s">
        <v>1538</v>
      </c>
      <c r="T1187" s="97">
        <f t="shared" si="28"/>
        <v>1350000</v>
      </c>
      <c r="U1187" s="94" t="s">
        <v>22</v>
      </c>
      <c r="V1187" s="94"/>
      <c r="W1187" s="94"/>
      <c r="X1187" s="94"/>
      <c r="Y1187" s="94">
        <v>100</v>
      </c>
      <c r="Z1187" s="94">
        <v>0</v>
      </c>
      <c r="AA1187" s="94">
        <v>0</v>
      </c>
      <c r="AB1187" s="94">
        <v>0</v>
      </c>
      <c r="AC1187" s="94"/>
      <c r="AE1187" s="1"/>
      <c r="AF1187" s="2"/>
      <c r="AG1187" s="1"/>
      <c r="AH1187" s="1"/>
      <c r="AI1187" s="1"/>
      <c r="AJ1187" s="1"/>
      <c r="AK1187" s="1"/>
      <c r="AL1187" s="1"/>
      <c r="AM1187" s="1"/>
      <c r="AN1187" s="1"/>
      <c r="AO1187" s="1"/>
      <c r="AP1187" s="1"/>
      <c r="AQ1187" s="1"/>
      <c r="AR1187" s="1"/>
      <c r="AS1187" s="1"/>
      <c r="AT1187" s="1"/>
      <c r="AU1187" s="1"/>
      <c r="AV1187" s="1"/>
      <c r="AW1187" s="1"/>
      <c r="AX1187" s="1"/>
      <c r="AY1187" s="1"/>
      <c r="AZ1187" s="1"/>
      <c r="BA1187" s="1"/>
      <c r="BB1187" s="1"/>
      <c r="BC1187" s="1"/>
      <c r="BD1187" s="1"/>
      <c r="BE1187" s="1"/>
      <c r="BF1187" s="1"/>
      <c r="BG1187" s="1"/>
      <c r="BH1187" s="1"/>
      <c r="BI1187" s="1"/>
      <c r="BJ1187" s="1"/>
      <c r="BK1187" s="1"/>
      <c r="BL1187" s="1"/>
      <c r="BM1187" s="1"/>
      <c r="BN1187" s="1"/>
      <c r="BO1187" s="1"/>
      <c r="BP1187" s="1"/>
      <c r="BQ1187" s="1"/>
      <c r="BR1187" s="1"/>
      <c r="BS1187" s="1"/>
      <c r="BT1187" s="1"/>
      <c r="BU1187" s="1"/>
      <c r="BV1187" s="1"/>
      <c r="BW1187" s="1"/>
      <c r="BX1187" s="1"/>
      <c r="BY1187" s="1"/>
      <c r="BZ1187" s="1"/>
      <c r="CA1187" s="1"/>
      <c r="CB1187" s="1"/>
      <c r="CC1187" s="1"/>
      <c r="CD1187" s="1"/>
      <c r="CE1187" s="1"/>
      <c r="CF1187" s="1"/>
    </row>
    <row r="1188" spans="1:84" s="3" customFormat="1" x14ac:dyDescent="0.2">
      <c r="A1188" s="17" t="s">
        <v>3921</v>
      </c>
      <c r="B1188" s="17" t="s">
        <v>45</v>
      </c>
      <c r="C1188" s="17">
        <v>2025</v>
      </c>
      <c r="D1188" s="17" t="str">
        <f t="array" ref="D1188">_xlfn.SWITCH(E1188,"Bagor","35.18.14","Sukomoro",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8" s="94" t="s">
        <v>29</v>
      </c>
      <c r="F1188" s="93" t="s">
        <v>2611</v>
      </c>
      <c r="G1188" s="93" t="s">
        <v>2632</v>
      </c>
      <c r="H1188" s="94" t="s">
        <v>31</v>
      </c>
      <c r="I1188" s="94">
        <v>1</v>
      </c>
      <c r="J1188" s="94">
        <v>1</v>
      </c>
      <c r="K1188" s="94">
        <f t="shared" si="25"/>
        <v>2</v>
      </c>
      <c r="L1188" s="95">
        <v>2000000</v>
      </c>
      <c r="M1188" s="96" t="s">
        <v>2163</v>
      </c>
      <c r="N1188" s="95">
        <f t="shared" si="29"/>
        <v>120</v>
      </c>
      <c r="O1188" s="94" t="s">
        <v>1398</v>
      </c>
      <c r="P1188" s="97">
        <f>N1188*15000</f>
        <v>1800000</v>
      </c>
      <c r="Q1188" s="96" t="s">
        <v>1059</v>
      </c>
      <c r="R1188" s="98">
        <f>N1188/3</f>
        <v>40</v>
      </c>
      <c r="S1188" s="94" t="s">
        <v>1538</v>
      </c>
      <c r="T1188" s="97">
        <f t="shared" si="28"/>
        <v>600000</v>
      </c>
      <c r="U1188" s="94" t="s">
        <v>22</v>
      </c>
      <c r="V1188" s="94"/>
      <c r="W1188" s="94"/>
      <c r="X1188" s="94"/>
      <c r="Y1188" s="94">
        <v>100</v>
      </c>
      <c r="Z1188" s="94">
        <v>0</v>
      </c>
      <c r="AA1188" s="94">
        <v>0</v>
      </c>
      <c r="AB1188" s="94">
        <v>0</v>
      </c>
      <c r="AC1188" s="94"/>
      <c r="AE1188" s="1"/>
      <c r="AF1188" s="2"/>
      <c r="AG1188" s="1"/>
      <c r="AH1188" s="1"/>
      <c r="AI1188" s="1"/>
      <c r="AJ1188" s="1"/>
      <c r="AK1188" s="1"/>
      <c r="AL1188" s="1"/>
      <c r="AM1188" s="1"/>
      <c r="AN1188" s="1"/>
      <c r="AO1188" s="1"/>
      <c r="AP1188" s="1"/>
      <c r="AQ1188" s="1"/>
      <c r="AR1188" s="1"/>
      <c r="AS1188" s="1"/>
      <c r="AT1188" s="1"/>
      <c r="AU1188" s="1"/>
      <c r="AV1188" s="1"/>
      <c r="AW1188" s="1"/>
      <c r="AX1188" s="1"/>
      <c r="AY1188" s="1"/>
      <c r="AZ1188" s="1"/>
      <c r="BA1188" s="1"/>
      <c r="BB1188" s="1"/>
      <c r="BC1188" s="1"/>
      <c r="BD1188" s="1"/>
      <c r="BE1188" s="1"/>
      <c r="BF1188" s="1"/>
      <c r="BG1188" s="1"/>
      <c r="BH1188" s="1"/>
      <c r="BI1188" s="1"/>
      <c r="BJ1188" s="1"/>
      <c r="BK1188" s="1"/>
      <c r="BL1188" s="1"/>
      <c r="BM1188" s="1"/>
      <c r="BN1188" s="1"/>
      <c r="BO1188" s="1"/>
      <c r="BP1188" s="1"/>
      <c r="BQ1188" s="1"/>
      <c r="BR1188" s="1"/>
      <c r="BS1188" s="1"/>
      <c r="BT1188" s="1"/>
      <c r="BU1188" s="1"/>
      <c r="BV1188" s="1"/>
      <c r="BW1188" s="1"/>
      <c r="BX1188" s="1"/>
      <c r="BY1188" s="1"/>
      <c r="BZ1188" s="1"/>
      <c r="CA1188" s="1"/>
      <c r="CB1188" s="1"/>
      <c r="CC1188" s="1"/>
      <c r="CD1188" s="1"/>
      <c r="CE1188" s="1"/>
      <c r="CF1188" s="1"/>
    </row>
    <row r="1189" spans="1:84" x14ac:dyDescent="0.2">
      <c r="A1189" s="17" t="s">
        <v>3921</v>
      </c>
      <c r="B1189" s="17" t="s">
        <v>45</v>
      </c>
      <c r="C1189" s="17">
        <v>2025</v>
      </c>
      <c r="D1189" s="17" t="str">
        <f t="array" ref="D1189">_xlfn.SWITCH(E1189,"Bagor","35.18.14","Sukomoro",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9" s="94" t="s">
        <v>29</v>
      </c>
      <c r="F1189" s="93" t="s">
        <v>2611</v>
      </c>
      <c r="G1189" s="93" t="s">
        <v>2633</v>
      </c>
      <c r="H1189" s="94" t="s">
        <v>31</v>
      </c>
      <c r="I1189" s="94">
        <v>1</v>
      </c>
      <c r="J1189" s="94">
        <v>1</v>
      </c>
      <c r="K1189" s="94">
        <f t="shared" si="25"/>
        <v>2</v>
      </c>
      <c r="L1189" s="95">
        <v>2500000</v>
      </c>
      <c r="M1189" s="96" t="s">
        <v>2163</v>
      </c>
      <c r="N1189" s="95">
        <f t="shared" si="29"/>
        <v>120</v>
      </c>
      <c r="O1189" s="94" t="s">
        <v>1398</v>
      </c>
      <c r="P1189" s="97">
        <f>N1189*15000</f>
        <v>1800000</v>
      </c>
      <c r="Q1189" s="96" t="s">
        <v>1059</v>
      </c>
      <c r="R1189" s="98">
        <f>N1189/3</f>
        <v>40</v>
      </c>
      <c r="S1189" s="94" t="s">
        <v>1538</v>
      </c>
      <c r="T1189" s="97">
        <f t="shared" si="28"/>
        <v>600000</v>
      </c>
      <c r="U1189" s="94" t="s">
        <v>22</v>
      </c>
      <c r="V1189" s="94"/>
      <c r="W1189" s="94"/>
      <c r="X1189" s="94"/>
      <c r="Y1189" s="94">
        <v>100</v>
      </c>
      <c r="Z1189" s="94">
        <v>0</v>
      </c>
      <c r="AA1189" s="94">
        <v>0</v>
      </c>
      <c r="AB1189" s="94">
        <v>0</v>
      </c>
      <c r="AC1189" s="94"/>
    </row>
    <row r="1190" spans="1:84" ht="20" x14ac:dyDescent="0.2">
      <c r="A1190" s="17" t="s">
        <v>3921</v>
      </c>
      <c r="B1190" s="17" t="s">
        <v>45</v>
      </c>
      <c r="C1190" s="17">
        <v>2025</v>
      </c>
      <c r="D1190" s="17" t="str">
        <f t="array" ref="D1190">_xlfn.SWITCH(E1190,"Bagor","35.18.14","Sukomoro",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0" s="94" t="s">
        <v>103</v>
      </c>
      <c r="F1190" s="96" t="s">
        <v>2634</v>
      </c>
      <c r="G1190" s="93" t="s">
        <v>2635</v>
      </c>
      <c r="H1190" s="94" t="s">
        <v>31</v>
      </c>
      <c r="I1190" s="101">
        <v>2</v>
      </c>
      <c r="J1190" s="94">
        <v>3</v>
      </c>
      <c r="K1190" s="94">
        <f t="shared" si="25"/>
        <v>5</v>
      </c>
      <c r="L1190" s="98">
        <v>5000000</v>
      </c>
      <c r="M1190" s="102" t="s">
        <v>2464</v>
      </c>
      <c r="N1190" s="103">
        <f t="shared" ref="N1190:N1205" si="32">K1190*10*30</f>
        <v>1500</v>
      </c>
      <c r="O1190" s="104" t="s">
        <v>1049</v>
      </c>
      <c r="P1190" s="95">
        <f t="shared" ref="P1190:P1203" si="33">N1190*5000</f>
        <v>7500000</v>
      </c>
      <c r="Q1190" s="105" t="s">
        <v>2636</v>
      </c>
      <c r="R1190" s="98">
        <f t="shared" ref="R1190:R1203" si="34">N1190/5</f>
        <v>300</v>
      </c>
      <c r="S1190" s="94" t="s">
        <v>422</v>
      </c>
      <c r="T1190" s="106">
        <f t="shared" ref="T1190:T1203" si="35">R1190*10000</f>
        <v>3000000</v>
      </c>
      <c r="U1190" s="94" t="s">
        <v>22</v>
      </c>
      <c r="V1190" s="94"/>
      <c r="W1190" s="94"/>
      <c r="X1190" s="94"/>
      <c r="Y1190" s="94">
        <v>100</v>
      </c>
      <c r="Z1190" s="94"/>
      <c r="AA1190" s="94"/>
      <c r="AB1190" s="93"/>
      <c r="AC1190" s="107"/>
      <c r="AD1190" s="1"/>
      <c r="AF1190" s="1"/>
    </row>
    <row r="1191" spans="1:84" ht="20" x14ac:dyDescent="0.2">
      <c r="A1191" s="17" t="s">
        <v>3921</v>
      </c>
      <c r="B1191" s="17" t="s">
        <v>45</v>
      </c>
      <c r="C1191" s="17">
        <v>2025</v>
      </c>
      <c r="D1191" s="17" t="str">
        <f t="array" ref="D1191">_xlfn.SWITCH(E1191,"Bagor","35.18.14","Sukomoro",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1" s="94" t="s">
        <v>103</v>
      </c>
      <c r="F1191" s="96" t="s">
        <v>2634</v>
      </c>
      <c r="G1191" s="93" t="s">
        <v>2637</v>
      </c>
      <c r="H1191" s="94" t="s">
        <v>31</v>
      </c>
      <c r="I1191" s="101">
        <v>1</v>
      </c>
      <c r="J1191" s="94">
        <v>2</v>
      </c>
      <c r="K1191" s="94">
        <f t="shared" si="25"/>
        <v>3</v>
      </c>
      <c r="L1191" s="98">
        <v>5000000</v>
      </c>
      <c r="M1191" s="102" t="s">
        <v>2464</v>
      </c>
      <c r="N1191" s="103">
        <f t="shared" si="32"/>
        <v>900</v>
      </c>
      <c r="O1191" s="104" t="s">
        <v>1049</v>
      </c>
      <c r="P1191" s="95">
        <f t="shared" si="33"/>
        <v>4500000</v>
      </c>
      <c r="Q1191" s="105" t="s">
        <v>2636</v>
      </c>
      <c r="R1191" s="98">
        <f t="shared" si="34"/>
        <v>180</v>
      </c>
      <c r="S1191" s="94" t="s">
        <v>422</v>
      </c>
      <c r="T1191" s="106">
        <f t="shared" si="35"/>
        <v>1800000</v>
      </c>
      <c r="U1191" s="94" t="s">
        <v>22</v>
      </c>
      <c r="V1191" s="94"/>
      <c r="W1191" s="94"/>
      <c r="X1191" s="94"/>
      <c r="Y1191" s="94">
        <v>100</v>
      </c>
      <c r="Z1191" s="94"/>
      <c r="AA1191" s="94"/>
      <c r="AB1191" s="93"/>
      <c r="AC1191" s="107"/>
      <c r="AD1191" s="1"/>
      <c r="AF1191" s="1"/>
    </row>
    <row r="1192" spans="1:84" ht="20" x14ac:dyDescent="0.2">
      <c r="A1192" s="17" t="s">
        <v>3921</v>
      </c>
      <c r="B1192" s="17" t="s">
        <v>45</v>
      </c>
      <c r="C1192" s="17">
        <v>2025</v>
      </c>
      <c r="D1192" s="17" t="str">
        <f t="array" ref="D1192">_xlfn.SWITCH(E1192,"Bagor","35.18.14","Sukomoro",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2" s="94" t="s">
        <v>103</v>
      </c>
      <c r="F1192" s="96" t="s">
        <v>2634</v>
      </c>
      <c r="G1192" s="93" t="s">
        <v>2638</v>
      </c>
      <c r="H1192" s="94" t="s">
        <v>31</v>
      </c>
      <c r="I1192" s="101">
        <v>1</v>
      </c>
      <c r="J1192" s="94">
        <v>2</v>
      </c>
      <c r="K1192" s="94">
        <f t="shared" si="25"/>
        <v>3</v>
      </c>
      <c r="L1192" s="98">
        <v>5000000</v>
      </c>
      <c r="M1192" s="102" t="s">
        <v>2464</v>
      </c>
      <c r="N1192" s="103">
        <f t="shared" si="32"/>
        <v>900</v>
      </c>
      <c r="O1192" s="104" t="s">
        <v>1049</v>
      </c>
      <c r="P1192" s="95">
        <f t="shared" si="33"/>
        <v>4500000</v>
      </c>
      <c r="Q1192" s="105" t="s">
        <v>2636</v>
      </c>
      <c r="R1192" s="98">
        <f t="shared" si="34"/>
        <v>180</v>
      </c>
      <c r="S1192" s="94" t="s">
        <v>422</v>
      </c>
      <c r="T1192" s="106">
        <f t="shared" si="35"/>
        <v>1800000</v>
      </c>
      <c r="U1192" s="94" t="s">
        <v>22</v>
      </c>
      <c r="V1192" s="94"/>
      <c r="W1192" s="94"/>
      <c r="X1192" s="94"/>
      <c r="Y1192" s="94">
        <v>100</v>
      </c>
      <c r="Z1192" s="94"/>
      <c r="AA1192" s="94"/>
      <c r="AB1192" s="93"/>
      <c r="AC1192" s="107"/>
      <c r="AD1192" s="1"/>
      <c r="AF1192" s="1"/>
    </row>
    <row r="1193" spans="1:84" ht="20" x14ac:dyDescent="0.2">
      <c r="A1193" s="17" t="s">
        <v>3921</v>
      </c>
      <c r="B1193" s="17" t="s">
        <v>45</v>
      </c>
      <c r="C1193" s="17">
        <v>2025</v>
      </c>
      <c r="D1193" s="17" t="str">
        <f t="array" ref="D1193">_xlfn.SWITCH(E1193,"Bagor","35.18.14","Sukomoro",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3" s="94" t="s">
        <v>103</v>
      </c>
      <c r="F1193" s="96" t="s">
        <v>2634</v>
      </c>
      <c r="G1193" s="93" t="s">
        <v>2639</v>
      </c>
      <c r="H1193" s="94" t="s">
        <v>31</v>
      </c>
      <c r="I1193" s="101">
        <v>1</v>
      </c>
      <c r="J1193" s="94">
        <v>1</v>
      </c>
      <c r="K1193" s="94">
        <f t="shared" si="25"/>
        <v>2</v>
      </c>
      <c r="L1193" s="98">
        <v>3000000</v>
      </c>
      <c r="M1193" s="102" t="s">
        <v>2464</v>
      </c>
      <c r="N1193" s="103">
        <f t="shared" si="32"/>
        <v>600</v>
      </c>
      <c r="O1193" s="104" t="s">
        <v>1049</v>
      </c>
      <c r="P1193" s="95">
        <f t="shared" si="33"/>
        <v>3000000</v>
      </c>
      <c r="Q1193" s="105" t="s">
        <v>2636</v>
      </c>
      <c r="R1193" s="98">
        <f t="shared" si="34"/>
        <v>120</v>
      </c>
      <c r="S1193" s="94" t="s">
        <v>422</v>
      </c>
      <c r="T1193" s="106">
        <f t="shared" si="35"/>
        <v>1200000</v>
      </c>
      <c r="U1193" s="94" t="s">
        <v>22</v>
      </c>
      <c r="V1193" s="94"/>
      <c r="W1193" s="94"/>
      <c r="X1193" s="94"/>
      <c r="Y1193" s="94">
        <v>100</v>
      </c>
      <c r="Z1193" s="94"/>
      <c r="AA1193" s="94"/>
      <c r="AB1193" s="93"/>
      <c r="AC1193" s="107"/>
      <c r="AD1193" s="1"/>
      <c r="AF1193" s="1"/>
    </row>
    <row r="1194" spans="1:84" ht="20" x14ac:dyDescent="0.2">
      <c r="A1194" s="17" t="s">
        <v>3921</v>
      </c>
      <c r="B1194" s="17" t="s">
        <v>45</v>
      </c>
      <c r="C1194" s="17">
        <v>2025</v>
      </c>
      <c r="D1194" s="17" t="str">
        <f t="array" ref="D1194">_xlfn.SWITCH(E1194,"Bagor","35.18.14","Sukomoro",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4" s="94" t="s">
        <v>103</v>
      </c>
      <c r="F1194" s="96" t="s">
        <v>2634</v>
      </c>
      <c r="G1194" s="93" t="s">
        <v>2640</v>
      </c>
      <c r="H1194" s="94" t="s">
        <v>31</v>
      </c>
      <c r="I1194" s="101">
        <v>1</v>
      </c>
      <c r="J1194" s="94">
        <v>1</v>
      </c>
      <c r="K1194" s="94">
        <f t="shared" si="25"/>
        <v>2</v>
      </c>
      <c r="L1194" s="98">
        <v>3000000</v>
      </c>
      <c r="M1194" s="102" t="s">
        <v>2464</v>
      </c>
      <c r="N1194" s="103">
        <f t="shared" si="32"/>
        <v>600</v>
      </c>
      <c r="O1194" s="104" t="s">
        <v>1049</v>
      </c>
      <c r="P1194" s="95">
        <f t="shared" si="33"/>
        <v>3000000</v>
      </c>
      <c r="Q1194" s="105" t="s">
        <v>2636</v>
      </c>
      <c r="R1194" s="98">
        <f t="shared" si="34"/>
        <v>120</v>
      </c>
      <c r="S1194" s="94" t="s">
        <v>422</v>
      </c>
      <c r="T1194" s="106">
        <f t="shared" si="35"/>
        <v>1200000</v>
      </c>
      <c r="U1194" s="94" t="s">
        <v>22</v>
      </c>
      <c r="V1194" s="94"/>
      <c r="W1194" s="94"/>
      <c r="X1194" s="94"/>
      <c r="Y1194" s="94">
        <v>100</v>
      </c>
      <c r="Z1194" s="94"/>
      <c r="AA1194" s="94"/>
      <c r="AB1194" s="93"/>
      <c r="AC1194" s="107"/>
      <c r="AD1194" s="1"/>
      <c r="AF1194" s="1"/>
    </row>
    <row r="1195" spans="1:84" ht="20" x14ac:dyDescent="0.2">
      <c r="A1195" s="17" t="s">
        <v>3921</v>
      </c>
      <c r="B1195" s="17" t="s">
        <v>45</v>
      </c>
      <c r="C1195" s="17">
        <v>2025</v>
      </c>
      <c r="D1195" s="17" t="str">
        <f t="array" ref="D1195">_xlfn.SWITCH(E1195,"Bagor","35.18.14","Sukomoro",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5" s="94" t="s">
        <v>103</v>
      </c>
      <c r="F1195" s="96" t="s">
        <v>2634</v>
      </c>
      <c r="G1195" s="93" t="s">
        <v>2641</v>
      </c>
      <c r="H1195" s="94" t="s">
        <v>31</v>
      </c>
      <c r="I1195" s="101">
        <v>2</v>
      </c>
      <c r="J1195" s="94">
        <v>2</v>
      </c>
      <c r="K1195" s="94">
        <f t="shared" si="25"/>
        <v>4</v>
      </c>
      <c r="L1195" s="98">
        <v>8000000</v>
      </c>
      <c r="M1195" s="102" t="s">
        <v>2464</v>
      </c>
      <c r="N1195" s="103">
        <f t="shared" si="32"/>
        <v>1200</v>
      </c>
      <c r="O1195" s="104" t="s">
        <v>1049</v>
      </c>
      <c r="P1195" s="95">
        <f t="shared" si="33"/>
        <v>6000000</v>
      </c>
      <c r="Q1195" s="105" t="s">
        <v>2636</v>
      </c>
      <c r="R1195" s="98">
        <f t="shared" si="34"/>
        <v>240</v>
      </c>
      <c r="S1195" s="94" t="s">
        <v>422</v>
      </c>
      <c r="T1195" s="106">
        <f t="shared" si="35"/>
        <v>2400000</v>
      </c>
      <c r="U1195" s="94" t="s">
        <v>22</v>
      </c>
      <c r="V1195" s="94"/>
      <c r="W1195" s="94"/>
      <c r="X1195" s="94"/>
      <c r="Y1195" s="94">
        <v>100</v>
      </c>
      <c r="Z1195" s="94"/>
      <c r="AA1195" s="94"/>
      <c r="AB1195" s="93"/>
      <c r="AC1195" s="107"/>
      <c r="AD1195" s="1"/>
      <c r="AF1195" s="1"/>
    </row>
    <row r="1196" spans="1:84" ht="20" x14ac:dyDescent="0.2">
      <c r="A1196" s="17" t="s">
        <v>3921</v>
      </c>
      <c r="B1196" s="17" t="s">
        <v>45</v>
      </c>
      <c r="C1196" s="17">
        <v>2025</v>
      </c>
      <c r="D1196" s="17" t="str">
        <f t="array" ref="D1196">_xlfn.SWITCH(E1196,"Bagor","35.18.14","Sukomoro",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6" s="94" t="s">
        <v>103</v>
      </c>
      <c r="F1196" s="96" t="s">
        <v>2634</v>
      </c>
      <c r="G1196" s="93" t="s">
        <v>2642</v>
      </c>
      <c r="H1196" s="94" t="s">
        <v>31</v>
      </c>
      <c r="I1196" s="94">
        <v>1</v>
      </c>
      <c r="J1196" s="94">
        <v>2</v>
      </c>
      <c r="K1196" s="94">
        <f t="shared" si="25"/>
        <v>3</v>
      </c>
      <c r="L1196" s="98">
        <v>7500000</v>
      </c>
      <c r="M1196" s="102" t="s">
        <v>2464</v>
      </c>
      <c r="N1196" s="103">
        <f t="shared" si="32"/>
        <v>900</v>
      </c>
      <c r="O1196" s="104" t="s">
        <v>1049</v>
      </c>
      <c r="P1196" s="95">
        <f t="shared" si="33"/>
        <v>4500000</v>
      </c>
      <c r="Q1196" s="105" t="s">
        <v>2636</v>
      </c>
      <c r="R1196" s="98">
        <f t="shared" si="34"/>
        <v>180</v>
      </c>
      <c r="S1196" s="94" t="s">
        <v>422</v>
      </c>
      <c r="T1196" s="106">
        <f t="shared" si="35"/>
        <v>1800000</v>
      </c>
      <c r="U1196" s="94" t="s">
        <v>22</v>
      </c>
      <c r="V1196" s="94"/>
      <c r="W1196" s="94"/>
      <c r="X1196" s="94"/>
      <c r="Y1196" s="94">
        <v>100</v>
      </c>
      <c r="Z1196" s="94"/>
      <c r="AA1196" s="94"/>
      <c r="AB1196" s="93"/>
      <c r="AC1196" s="107"/>
      <c r="AD1196" s="1"/>
      <c r="AF1196" s="1"/>
    </row>
    <row r="1197" spans="1:84" ht="20" x14ac:dyDescent="0.2">
      <c r="A1197" s="17" t="s">
        <v>3921</v>
      </c>
      <c r="B1197" s="17" t="s">
        <v>45</v>
      </c>
      <c r="C1197" s="17">
        <v>2025</v>
      </c>
      <c r="D1197" s="17" t="str">
        <f t="array" ref="D1197">_xlfn.SWITCH(E1197,"Bagor","35.18.14","Sukomoro",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7" s="94" t="s">
        <v>103</v>
      </c>
      <c r="F1197" s="96" t="s">
        <v>2634</v>
      </c>
      <c r="G1197" s="93" t="s">
        <v>2643</v>
      </c>
      <c r="H1197" s="94" t="s">
        <v>31</v>
      </c>
      <c r="I1197" s="94">
        <v>1</v>
      </c>
      <c r="J1197" s="94">
        <v>3</v>
      </c>
      <c r="K1197" s="94">
        <f t="shared" si="25"/>
        <v>4</v>
      </c>
      <c r="L1197" s="98">
        <v>5000000</v>
      </c>
      <c r="M1197" s="102" t="s">
        <v>2464</v>
      </c>
      <c r="N1197" s="103">
        <f t="shared" si="32"/>
        <v>1200</v>
      </c>
      <c r="O1197" s="104" t="s">
        <v>1049</v>
      </c>
      <c r="P1197" s="95">
        <f t="shared" si="33"/>
        <v>6000000</v>
      </c>
      <c r="Q1197" s="105" t="s">
        <v>2636</v>
      </c>
      <c r="R1197" s="98">
        <f t="shared" si="34"/>
        <v>240</v>
      </c>
      <c r="S1197" s="94" t="s">
        <v>422</v>
      </c>
      <c r="T1197" s="106">
        <f t="shared" si="35"/>
        <v>2400000</v>
      </c>
      <c r="U1197" s="94" t="s">
        <v>22</v>
      </c>
      <c r="V1197" s="94"/>
      <c r="W1197" s="94"/>
      <c r="X1197" s="94"/>
      <c r="Y1197" s="94">
        <v>100</v>
      </c>
      <c r="Z1197" s="94"/>
      <c r="AA1197" s="94"/>
      <c r="AB1197" s="93"/>
      <c r="AC1197" s="107"/>
      <c r="AD1197" s="1"/>
      <c r="AF1197" s="1"/>
    </row>
    <row r="1198" spans="1:84" ht="20" x14ac:dyDescent="0.2">
      <c r="A1198" s="17" t="s">
        <v>3921</v>
      </c>
      <c r="B1198" s="17" t="s">
        <v>45</v>
      </c>
      <c r="C1198" s="17">
        <v>2025</v>
      </c>
      <c r="D1198" s="17" t="str">
        <f t="array" ref="D1198">_xlfn.SWITCH(E1198,"Bagor","35.18.14","Sukomoro",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8" s="94" t="s">
        <v>103</v>
      </c>
      <c r="F1198" s="96" t="s">
        <v>2634</v>
      </c>
      <c r="G1198" s="93" t="s">
        <v>2644</v>
      </c>
      <c r="H1198" s="94" t="s">
        <v>31</v>
      </c>
      <c r="I1198" s="94">
        <v>1</v>
      </c>
      <c r="J1198" s="94">
        <v>1</v>
      </c>
      <c r="K1198" s="94">
        <f t="shared" si="25"/>
        <v>2</v>
      </c>
      <c r="L1198" s="98">
        <v>5000000</v>
      </c>
      <c r="M1198" s="102" t="s">
        <v>2464</v>
      </c>
      <c r="N1198" s="103">
        <f t="shared" si="32"/>
        <v>600</v>
      </c>
      <c r="O1198" s="104" t="s">
        <v>1049</v>
      </c>
      <c r="P1198" s="95">
        <f t="shared" si="33"/>
        <v>3000000</v>
      </c>
      <c r="Q1198" s="105" t="s">
        <v>2636</v>
      </c>
      <c r="R1198" s="98">
        <f t="shared" si="34"/>
        <v>120</v>
      </c>
      <c r="S1198" s="94" t="s">
        <v>422</v>
      </c>
      <c r="T1198" s="106">
        <f t="shared" si="35"/>
        <v>1200000</v>
      </c>
      <c r="U1198" s="94" t="s">
        <v>22</v>
      </c>
      <c r="V1198" s="94"/>
      <c r="W1198" s="94"/>
      <c r="X1198" s="94"/>
      <c r="Y1198" s="94">
        <v>100</v>
      </c>
      <c r="Z1198" s="94"/>
      <c r="AA1198" s="94"/>
      <c r="AB1198" s="93"/>
      <c r="AC1198" s="107"/>
      <c r="AD1198" s="1"/>
      <c r="AF1198" s="1"/>
    </row>
    <row r="1199" spans="1:84" ht="20" x14ac:dyDescent="0.2">
      <c r="A1199" s="17" t="s">
        <v>3921</v>
      </c>
      <c r="B1199" s="17" t="s">
        <v>45</v>
      </c>
      <c r="C1199" s="17">
        <v>2025</v>
      </c>
      <c r="D1199" s="17" t="str">
        <f t="array" ref="D1199">_xlfn.SWITCH(E1199,"Bagor","35.18.14","Sukomoro",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9" s="94" t="s">
        <v>103</v>
      </c>
      <c r="F1199" s="96" t="s">
        <v>2634</v>
      </c>
      <c r="G1199" s="93" t="s">
        <v>2645</v>
      </c>
      <c r="H1199" s="94" t="s">
        <v>31</v>
      </c>
      <c r="I1199" s="94">
        <v>0</v>
      </c>
      <c r="J1199" s="94">
        <v>2</v>
      </c>
      <c r="K1199" s="94">
        <f t="shared" si="25"/>
        <v>2</v>
      </c>
      <c r="L1199" s="98">
        <v>3000000</v>
      </c>
      <c r="M1199" s="102" t="s">
        <v>2464</v>
      </c>
      <c r="N1199" s="103">
        <f t="shared" si="32"/>
        <v>600</v>
      </c>
      <c r="O1199" s="104" t="s">
        <v>1049</v>
      </c>
      <c r="P1199" s="95">
        <f t="shared" si="33"/>
        <v>3000000</v>
      </c>
      <c r="Q1199" s="105" t="s">
        <v>2636</v>
      </c>
      <c r="R1199" s="98">
        <f t="shared" si="34"/>
        <v>120</v>
      </c>
      <c r="S1199" s="94" t="s">
        <v>422</v>
      </c>
      <c r="T1199" s="106">
        <f t="shared" si="35"/>
        <v>1200000</v>
      </c>
      <c r="U1199" s="94" t="s">
        <v>22</v>
      </c>
      <c r="V1199" s="94"/>
      <c r="W1199" s="94"/>
      <c r="X1199" s="94"/>
      <c r="Y1199" s="94">
        <v>100</v>
      </c>
      <c r="Z1199" s="94"/>
      <c r="AA1199" s="94"/>
      <c r="AB1199" s="94"/>
      <c r="AC1199" s="94"/>
    </row>
    <row r="1200" spans="1:84" x14ac:dyDescent="0.2">
      <c r="A1200" s="17" t="s">
        <v>3921</v>
      </c>
      <c r="B1200" s="17" t="s">
        <v>45</v>
      </c>
      <c r="C1200" s="17">
        <v>2025</v>
      </c>
      <c r="D1200" s="17" t="str">
        <f t="array" ref="D1200">_xlfn.SWITCH(E1200,"Jatikalen","35.18.20","Kertosono", "35.18.08","Lengkong","35.18.19","Loceret","35.18.04","Tanjunganom","35.18.11","Wilangan","35.18.15")</f>
        <v>35.18.19</v>
      </c>
      <c r="E1200" s="94" t="s">
        <v>64</v>
      </c>
      <c r="F1200" s="93" t="s">
        <v>1605</v>
      </c>
      <c r="G1200" s="93" t="s">
        <v>2470</v>
      </c>
      <c r="H1200" s="94" t="s">
        <v>31</v>
      </c>
      <c r="I1200" s="94">
        <v>1</v>
      </c>
      <c r="J1200" s="94">
        <v>1</v>
      </c>
      <c r="K1200" s="94">
        <f t="shared" ref="K1200:K1231" si="36">SUM(I1200:J1200)</f>
        <v>2</v>
      </c>
      <c r="L1200" s="95">
        <v>5000000</v>
      </c>
      <c r="M1200" s="96" t="s">
        <v>1367</v>
      </c>
      <c r="N1200" s="95">
        <f t="shared" si="32"/>
        <v>600</v>
      </c>
      <c r="O1200" s="94" t="s">
        <v>1368</v>
      </c>
      <c r="P1200" s="97">
        <f t="shared" si="33"/>
        <v>3000000</v>
      </c>
      <c r="Q1200" s="96" t="s">
        <v>2646</v>
      </c>
      <c r="R1200" s="98">
        <f t="shared" si="34"/>
        <v>120</v>
      </c>
      <c r="S1200" s="94" t="s">
        <v>1368</v>
      </c>
      <c r="T1200" s="97">
        <f t="shared" si="35"/>
        <v>1200000</v>
      </c>
      <c r="U1200" s="94" t="s">
        <v>22</v>
      </c>
      <c r="V1200" s="94" t="s">
        <v>1370</v>
      </c>
      <c r="W1200" s="94">
        <v>500</v>
      </c>
      <c r="X1200" s="94" t="s">
        <v>1049</v>
      </c>
      <c r="Y1200" s="94">
        <v>80</v>
      </c>
      <c r="Z1200" s="94">
        <v>20</v>
      </c>
      <c r="AA1200" s="94">
        <v>0</v>
      </c>
      <c r="AB1200" s="94">
        <v>0</v>
      </c>
      <c r="AC1200" s="94"/>
    </row>
    <row r="1201" spans="1:84" s="113" customFormat="1" x14ac:dyDescent="0.2">
      <c r="A1201" s="17" t="s">
        <v>3921</v>
      </c>
      <c r="B1201" s="17" t="s">
        <v>45</v>
      </c>
      <c r="C1201" s="17">
        <v>2025</v>
      </c>
      <c r="D1201" s="17" t="str">
        <f t="array" ref="D1201">_xlfn.SWITCH(E1201,"Jatikalen","35.18.20","Kertosono", "35.18.08","Lengkong","35.18.19","Loceret","35.18.04","Tanjunganom","35.18.11","Wilangan","35.18.15")</f>
        <v>35.18.19</v>
      </c>
      <c r="E1201" s="94" t="s">
        <v>64</v>
      </c>
      <c r="F1201" s="93" t="s">
        <v>1605</v>
      </c>
      <c r="G1201" s="108" t="s">
        <v>2470</v>
      </c>
      <c r="H1201" s="94" t="s">
        <v>31</v>
      </c>
      <c r="I1201" s="109">
        <v>1</v>
      </c>
      <c r="J1201" s="109">
        <v>2</v>
      </c>
      <c r="K1201" s="110">
        <f t="shared" si="36"/>
        <v>3</v>
      </c>
      <c r="L1201" s="95">
        <v>5000000</v>
      </c>
      <c r="M1201" s="96" t="s">
        <v>1367</v>
      </c>
      <c r="N1201" s="111">
        <f t="shared" si="32"/>
        <v>900</v>
      </c>
      <c r="O1201" s="104" t="s">
        <v>1368</v>
      </c>
      <c r="P1201" s="97">
        <f t="shared" si="33"/>
        <v>4500000</v>
      </c>
      <c r="Q1201" s="96" t="s">
        <v>2646</v>
      </c>
      <c r="R1201" s="111">
        <f t="shared" si="34"/>
        <v>180</v>
      </c>
      <c r="S1201" s="104" t="s">
        <v>1368</v>
      </c>
      <c r="T1201" s="111">
        <f t="shared" si="35"/>
        <v>1800000</v>
      </c>
      <c r="U1201" s="94" t="s">
        <v>22</v>
      </c>
      <c r="V1201" s="94" t="s">
        <v>1370</v>
      </c>
      <c r="W1201" s="94">
        <v>500</v>
      </c>
      <c r="X1201" s="94" t="s">
        <v>1049</v>
      </c>
      <c r="Y1201" s="94">
        <v>80</v>
      </c>
      <c r="Z1201" s="94">
        <v>20</v>
      </c>
      <c r="AA1201" s="94">
        <v>0</v>
      </c>
      <c r="AB1201" s="94">
        <v>0</v>
      </c>
      <c r="AC1201" s="104"/>
      <c r="AD1201" s="3"/>
      <c r="AE1201" s="1"/>
      <c r="AF1201" s="112"/>
      <c r="AG1201" s="112"/>
      <c r="AH1201" s="112"/>
      <c r="AI1201" s="112"/>
      <c r="AJ1201" s="112"/>
      <c r="AK1201" s="112"/>
      <c r="AL1201" s="112"/>
      <c r="AM1201" s="112"/>
      <c r="AN1201" s="112"/>
      <c r="AO1201" s="112"/>
      <c r="AP1201" s="112"/>
      <c r="AQ1201" s="112"/>
      <c r="AR1201" s="112"/>
      <c r="AS1201" s="112"/>
      <c r="AT1201" s="112"/>
      <c r="AU1201" s="112"/>
      <c r="AV1201" s="112"/>
      <c r="AW1201" s="112"/>
      <c r="AX1201" s="112"/>
      <c r="AY1201" s="112"/>
      <c r="AZ1201" s="112"/>
      <c r="BA1201" s="112"/>
      <c r="BB1201" s="112"/>
      <c r="BC1201" s="112"/>
      <c r="BD1201" s="112"/>
      <c r="BE1201" s="112"/>
      <c r="BF1201" s="112"/>
      <c r="BG1201" s="112"/>
      <c r="BH1201" s="112"/>
      <c r="BI1201" s="112"/>
      <c r="BJ1201" s="112"/>
      <c r="BK1201" s="112"/>
      <c r="BL1201" s="112"/>
      <c r="BM1201" s="112"/>
      <c r="BN1201" s="112"/>
      <c r="BO1201" s="112"/>
      <c r="BP1201" s="112"/>
      <c r="BQ1201" s="112"/>
      <c r="BR1201" s="112"/>
      <c r="BS1201" s="112"/>
      <c r="BT1201" s="112"/>
      <c r="BU1201" s="112"/>
      <c r="BV1201" s="112"/>
      <c r="BW1201" s="112"/>
      <c r="BX1201" s="112"/>
      <c r="BY1201" s="112"/>
      <c r="BZ1201" s="112"/>
      <c r="CA1201" s="112"/>
      <c r="CB1201" s="112"/>
      <c r="CC1201" s="112"/>
      <c r="CD1201" s="112"/>
      <c r="CE1201" s="112"/>
      <c r="CF1201" s="112"/>
    </row>
    <row r="1202" spans="1:84" s="113" customFormat="1" x14ac:dyDescent="0.2">
      <c r="A1202" s="17" t="s">
        <v>3921</v>
      </c>
      <c r="B1202" s="17" t="s">
        <v>45</v>
      </c>
      <c r="C1202" s="17">
        <v>2025</v>
      </c>
      <c r="D1202" s="17" t="str">
        <f t="array" ref="D1202">_xlfn.SWITCH(E1202,"Jatikalen","35.18.20","Kertosono", "35.18.08","Lengkong","35.18.19","Loceret","35.18.04","Tanjunganom","35.18.11","Wilangan","35.18.15")</f>
        <v>35.18.19</v>
      </c>
      <c r="E1202" s="94" t="s">
        <v>64</v>
      </c>
      <c r="F1202" s="93" t="s">
        <v>1605</v>
      </c>
      <c r="G1202" s="114" t="s">
        <v>2470</v>
      </c>
      <c r="H1202" s="94" t="s">
        <v>31</v>
      </c>
      <c r="I1202" s="101">
        <v>1</v>
      </c>
      <c r="J1202" s="101">
        <v>0</v>
      </c>
      <c r="K1202" s="101">
        <f t="shared" si="36"/>
        <v>1</v>
      </c>
      <c r="L1202" s="95">
        <v>5000000</v>
      </c>
      <c r="M1202" s="96" t="s">
        <v>1367</v>
      </c>
      <c r="N1202" s="111">
        <f t="shared" si="32"/>
        <v>300</v>
      </c>
      <c r="O1202" s="104" t="s">
        <v>1368</v>
      </c>
      <c r="P1202" s="97">
        <f t="shared" si="33"/>
        <v>1500000</v>
      </c>
      <c r="Q1202" s="96" t="s">
        <v>2646</v>
      </c>
      <c r="R1202" s="111">
        <f t="shared" si="34"/>
        <v>60</v>
      </c>
      <c r="S1202" s="104" t="s">
        <v>1368</v>
      </c>
      <c r="T1202" s="111">
        <f t="shared" si="35"/>
        <v>600000</v>
      </c>
      <c r="U1202" s="94" t="s">
        <v>22</v>
      </c>
      <c r="V1202" s="94" t="s">
        <v>1370</v>
      </c>
      <c r="W1202" s="94">
        <v>500</v>
      </c>
      <c r="X1202" s="94" t="s">
        <v>1049</v>
      </c>
      <c r="Y1202" s="94">
        <v>80</v>
      </c>
      <c r="Z1202" s="94">
        <v>20</v>
      </c>
      <c r="AA1202" s="94">
        <v>0</v>
      </c>
      <c r="AB1202" s="94">
        <v>0</v>
      </c>
      <c r="AC1202" s="104"/>
      <c r="AD1202" s="3"/>
      <c r="AE1202" s="1"/>
      <c r="AF1202" s="112"/>
      <c r="AG1202" s="112"/>
      <c r="AH1202" s="112"/>
      <c r="AI1202" s="112"/>
      <c r="AJ1202" s="112"/>
      <c r="AK1202" s="112"/>
      <c r="AL1202" s="112"/>
      <c r="AM1202" s="112"/>
      <c r="AN1202" s="112"/>
      <c r="AO1202" s="112"/>
      <c r="AP1202" s="112"/>
      <c r="AQ1202" s="112"/>
      <c r="AR1202" s="112"/>
      <c r="AS1202" s="112"/>
      <c r="AT1202" s="112"/>
      <c r="AU1202" s="112"/>
      <c r="AV1202" s="112"/>
      <c r="AW1202" s="112"/>
      <c r="AX1202" s="112"/>
      <c r="AY1202" s="112"/>
      <c r="AZ1202" s="112"/>
      <c r="BA1202" s="112"/>
      <c r="BB1202" s="112"/>
      <c r="BC1202" s="112"/>
      <c r="BD1202" s="112"/>
      <c r="BE1202" s="112"/>
      <c r="BF1202" s="112"/>
      <c r="BG1202" s="112"/>
      <c r="BH1202" s="112"/>
      <c r="BI1202" s="112"/>
      <c r="BJ1202" s="112"/>
      <c r="BK1202" s="112"/>
      <c r="BL1202" s="112"/>
      <c r="BM1202" s="112"/>
      <c r="BN1202" s="112"/>
      <c r="BO1202" s="112"/>
      <c r="BP1202" s="112"/>
      <c r="BQ1202" s="112"/>
      <c r="BR1202" s="112"/>
      <c r="BS1202" s="112"/>
      <c r="BT1202" s="112"/>
      <c r="BU1202" s="112"/>
      <c r="BV1202" s="112"/>
      <c r="BW1202" s="112"/>
      <c r="BX1202" s="112"/>
      <c r="BY1202" s="112"/>
      <c r="BZ1202" s="112"/>
      <c r="CA1202" s="112"/>
      <c r="CB1202" s="112"/>
      <c r="CC1202" s="112"/>
      <c r="CD1202" s="112"/>
      <c r="CE1202" s="112"/>
      <c r="CF1202" s="112"/>
    </row>
    <row r="1203" spans="1:84" s="113" customFormat="1" x14ac:dyDescent="0.2">
      <c r="A1203" s="17" t="s">
        <v>3921</v>
      </c>
      <c r="B1203" s="17" t="s">
        <v>45</v>
      </c>
      <c r="C1203" s="17">
        <v>2025</v>
      </c>
      <c r="D1203" s="17" t="str">
        <f t="array" ref="D1203">_xlfn.SWITCH(E1203,"Jatikalen","35.18.20","Kertosono", "35.18.08","Lengkong","35.18.19","Loceret","35.18.04","Tanjunganom","35.18.11","Wilangan","35.18.15")</f>
        <v>35.18.19</v>
      </c>
      <c r="E1203" s="94" t="s">
        <v>64</v>
      </c>
      <c r="F1203" s="93" t="s">
        <v>1605</v>
      </c>
      <c r="G1203" s="114" t="s">
        <v>2470</v>
      </c>
      <c r="H1203" s="94" t="s">
        <v>31</v>
      </c>
      <c r="I1203" s="101">
        <v>1</v>
      </c>
      <c r="J1203" s="101">
        <v>1</v>
      </c>
      <c r="K1203" s="101">
        <f t="shared" si="36"/>
        <v>2</v>
      </c>
      <c r="L1203" s="95">
        <v>5000000</v>
      </c>
      <c r="M1203" s="96" t="s">
        <v>1367</v>
      </c>
      <c r="N1203" s="111">
        <f t="shared" si="32"/>
        <v>600</v>
      </c>
      <c r="O1203" s="104" t="s">
        <v>1368</v>
      </c>
      <c r="P1203" s="97">
        <f t="shared" si="33"/>
        <v>3000000</v>
      </c>
      <c r="Q1203" s="96" t="s">
        <v>2646</v>
      </c>
      <c r="R1203" s="111">
        <f t="shared" si="34"/>
        <v>120</v>
      </c>
      <c r="S1203" s="104" t="s">
        <v>1368</v>
      </c>
      <c r="T1203" s="111">
        <f t="shared" si="35"/>
        <v>1200000</v>
      </c>
      <c r="U1203" s="94" t="s">
        <v>22</v>
      </c>
      <c r="V1203" s="94" t="s">
        <v>1370</v>
      </c>
      <c r="W1203" s="94">
        <v>500</v>
      </c>
      <c r="X1203" s="94" t="s">
        <v>1049</v>
      </c>
      <c r="Y1203" s="94">
        <v>80</v>
      </c>
      <c r="Z1203" s="94">
        <v>20</v>
      </c>
      <c r="AA1203" s="94">
        <v>0</v>
      </c>
      <c r="AB1203" s="94">
        <v>0</v>
      </c>
      <c r="AC1203" s="111"/>
      <c r="AD1203" s="3"/>
      <c r="AE1203" s="1"/>
      <c r="AF1203" s="112"/>
      <c r="AG1203" s="112"/>
      <c r="AH1203" s="112"/>
      <c r="AI1203" s="112"/>
      <c r="AJ1203" s="112"/>
      <c r="AK1203" s="112"/>
      <c r="AL1203" s="112"/>
      <c r="AM1203" s="112"/>
      <c r="AN1203" s="112"/>
      <c r="AO1203" s="112"/>
      <c r="AP1203" s="112"/>
      <c r="AQ1203" s="112"/>
      <c r="AR1203" s="112"/>
      <c r="AS1203" s="112"/>
      <c r="AT1203" s="112"/>
      <c r="AU1203" s="112"/>
      <c r="AV1203" s="112"/>
      <c r="AW1203" s="112"/>
      <c r="AX1203" s="112"/>
      <c r="AY1203" s="112"/>
      <c r="AZ1203" s="112"/>
      <c r="BA1203" s="112"/>
      <c r="BB1203" s="112"/>
      <c r="BC1203" s="112"/>
      <c r="BD1203" s="112"/>
      <c r="BE1203" s="112"/>
      <c r="BF1203" s="112"/>
      <c r="BG1203" s="112"/>
      <c r="BH1203" s="112"/>
      <c r="BI1203" s="112"/>
      <c r="BJ1203" s="112"/>
      <c r="BK1203" s="112"/>
      <c r="BL1203" s="112"/>
      <c r="BM1203" s="112"/>
      <c r="BN1203" s="112"/>
      <c r="BO1203" s="112"/>
      <c r="BP1203" s="112"/>
      <c r="BQ1203" s="112"/>
      <c r="BR1203" s="112"/>
      <c r="BS1203" s="112"/>
      <c r="BT1203" s="112"/>
      <c r="BU1203" s="112"/>
      <c r="BV1203" s="112"/>
      <c r="BW1203" s="112"/>
      <c r="BX1203" s="112"/>
      <c r="BY1203" s="112"/>
      <c r="BZ1203" s="112"/>
      <c r="CA1203" s="112"/>
      <c r="CB1203" s="112"/>
      <c r="CC1203" s="112"/>
      <c r="CD1203" s="112"/>
      <c r="CE1203" s="112"/>
      <c r="CF1203" s="112"/>
    </row>
    <row r="1204" spans="1:84" ht="20" x14ac:dyDescent="0.2">
      <c r="A1204" s="17" t="s">
        <v>3921</v>
      </c>
      <c r="B1204" s="17" t="s">
        <v>45</v>
      </c>
      <c r="C1204" s="17">
        <v>2025</v>
      </c>
      <c r="D1204" s="17" t="str">
        <f t="array" ref="D1204">_xlfn.SWITCH(E1204,"Jatikalen","35.18.20","Kertosono", "35.18.08","Lengkong","35.18.19","Loceret","35.18.04","Tanjunganom","35.18.11","Wilangan","35.18.15")</f>
        <v>35.18.04</v>
      </c>
      <c r="E1204" s="82" t="s">
        <v>41</v>
      </c>
      <c r="F1204" s="107" t="s">
        <v>2647</v>
      </c>
      <c r="G1204" s="107" t="s">
        <v>2648</v>
      </c>
      <c r="H1204" s="82" t="s">
        <v>81</v>
      </c>
      <c r="I1204" s="94">
        <v>2</v>
      </c>
      <c r="J1204" s="94">
        <v>8</v>
      </c>
      <c r="K1204" s="94">
        <f t="shared" si="36"/>
        <v>10</v>
      </c>
      <c r="L1204" s="95">
        <v>20000000</v>
      </c>
      <c r="M1204" s="107" t="s">
        <v>2428</v>
      </c>
      <c r="N1204" s="97">
        <f t="shared" si="32"/>
        <v>3000</v>
      </c>
      <c r="O1204" s="82" t="s">
        <v>35</v>
      </c>
      <c r="P1204" s="97">
        <f>N1204*20000*10</f>
        <v>600000000</v>
      </c>
      <c r="Q1204" s="107" t="s">
        <v>1553</v>
      </c>
      <c r="R1204" s="97">
        <v>6000</v>
      </c>
      <c r="S1204" s="82" t="s">
        <v>422</v>
      </c>
      <c r="T1204" s="97">
        <f>R1204*28000</f>
        <v>168000000</v>
      </c>
      <c r="U1204" s="94" t="s">
        <v>22</v>
      </c>
      <c r="V1204" s="94"/>
      <c r="W1204" s="94"/>
      <c r="X1204" s="94"/>
      <c r="Y1204" s="94">
        <v>70</v>
      </c>
      <c r="Z1204" s="94">
        <v>25</v>
      </c>
      <c r="AA1204" s="94">
        <v>5</v>
      </c>
      <c r="AB1204" s="94">
        <v>0</v>
      </c>
      <c r="AC1204" s="94"/>
    </row>
    <row r="1205" spans="1:84" x14ac:dyDescent="0.2">
      <c r="A1205" s="17" t="s">
        <v>3921</v>
      </c>
      <c r="B1205" s="17" t="s">
        <v>45</v>
      </c>
      <c r="C1205" s="17">
        <v>2025</v>
      </c>
      <c r="D1205" s="17" t="str">
        <f t="array" ref="D1205">_xlfn.SWITCH(E1205,"Bagor","35.18.14","Sukomoro",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05" s="101" t="s">
        <v>124</v>
      </c>
      <c r="F1205" s="102" t="s">
        <v>2649</v>
      </c>
      <c r="G1205" s="114" t="s">
        <v>2650</v>
      </c>
      <c r="H1205" s="101" t="s">
        <v>31</v>
      </c>
      <c r="I1205" s="101">
        <v>1</v>
      </c>
      <c r="J1205" s="101">
        <v>3</v>
      </c>
      <c r="K1205" s="101">
        <f t="shared" si="36"/>
        <v>4</v>
      </c>
      <c r="L1205" s="95">
        <v>5000000</v>
      </c>
      <c r="M1205" s="102" t="s">
        <v>2651</v>
      </c>
      <c r="N1205" s="97">
        <f t="shared" si="32"/>
        <v>1200</v>
      </c>
      <c r="O1205" s="101" t="s">
        <v>35</v>
      </c>
      <c r="P1205" s="97">
        <f>N1205*40000</f>
        <v>48000000</v>
      </c>
      <c r="Q1205" s="102" t="s">
        <v>2652</v>
      </c>
      <c r="R1205" s="97">
        <v>2000</v>
      </c>
      <c r="S1205" s="101" t="s">
        <v>422</v>
      </c>
      <c r="T1205" s="97">
        <f>R1205*5000</f>
        <v>10000000</v>
      </c>
      <c r="U1205" s="94" t="s">
        <v>22</v>
      </c>
      <c r="V1205" s="94"/>
      <c r="W1205" s="94"/>
      <c r="X1205" s="94"/>
      <c r="Y1205" s="94">
        <v>80</v>
      </c>
      <c r="Z1205" s="94">
        <v>20</v>
      </c>
      <c r="AA1205" s="94">
        <v>0</v>
      </c>
      <c r="AB1205" s="94">
        <v>0</v>
      </c>
      <c r="AC1205" s="94"/>
      <c r="AF1205" s="1"/>
    </row>
    <row r="1206" spans="1:84" x14ac:dyDescent="0.2">
      <c r="A1206" s="17" t="s">
        <v>3921</v>
      </c>
      <c r="B1206" s="17" t="s">
        <v>45</v>
      </c>
      <c r="C1206" s="17">
        <v>2025</v>
      </c>
      <c r="D1206" s="17" t="str">
        <f t="array" ref="D1206">_xlfn.SWITCH(E1206,"Jatikalen","35.18.20","Kertosono", "35.18.08","Lengkong","35.18.19","Loceret","35.18.04","Tanjunganom","35.18.11","Wilangan","35.18.15")</f>
        <v>35.18.04</v>
      </c>
      <c r="E1206" s="94" t="s">
        <v>41</v>
      </c>
      <c r="F1206" s="93" t="s">
        <v>1480</v>
      </c>
      <c r="G1206" s="114" t="s">
        <v>2653</v>
      </c>
      <c r="H1206" s="101" t="s">
        <v>31</v>
      </c>
      <c r="I1206" s="94">
        <v>3</v>
      </c>
      <c r="J1206" s="94">
        <v>1</v>
      </c>
      <c r="K1206" s="94">
        <f t="shared" si="36"/>
        <v>4</v>
      </c>
      <c r="L1206" s="95">
        <v>20000000</v>
      </c>
      <c r="M1206" s="96" t="s">
        <v>2654</v>
      </c>
      <c r="N1206" s="95">
        <v>5000</v>
      </c>
      <c r="O1206" s="94" t="s">
        <v>35</v>
      </c>
      <c r="P1206" s="97">
        <f>N1206*150000</f>
        <v>750000000</v>
      </c>
      <c r="Q1206" s="96" t="s">
        <v>2654</v>
      </c>
      <c r="R1206" s="98">
        <v>5000</v>
      </c>
      <c r="S1206" s="94" t="s">
        <v>422</v>
      </c>
      <c r="T1206" s="97">
        <f>R1206*12500</f>
        <v>62500000</v>
      </c>
      <c r="U1206" s="94" t="s">
        <v>22</v>
      </c>
      <c r="V1206" s="94"/>
      <c r="W1206" s="94"/>
      <c r="X1206" s="94"/>
      <c r="Y1206" s="94">
        <v>100</v>
      </c>
      <c r="Z1206" s="94">
        <v>0</v>
      </c>
      <c r="AA1206" s="94">
        <v>0</v>
      </c>
      <c r="AB1206" s="94">
        <v>0</v>
      </c>
      <c r="AC1206" s="94"/>
    </row>
    <row r="1207" spans="1:84" x14ac:dyDescent="0.2">
      <c r="A1207" s="17" t="s">
        <v>3921</v>
      </c>
      <c r="B1207" s="17" t="s">
        <v>45</v>
      </c>
      <c r="C1207" s="17">
        <v>2025</v>
      </c>
      <c r="D1207" s="17" t="str">
        <f t="array" ref="D1207">_xlfn.SWITCH(E1207,"Bagor","35.18.14","Sukomoro",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07" s="94" t="s">
        <v>45</v>
      </c>
      <c r="F1207" s="93" t="s">
        <v>2655</v>
      </c>
      <c r="G1207" s="114" t="s">
        <v>2656</v>
      </c>
      <c r="H1207" s="101" t="s">
        <v>31</v>
      </c>
      <c r="I1207" s="94">
        <v>1</v>
      </c>
      <c r="J1207" s="94">
        <v>3</v>
      </c>
      <c r="K1207" s="101">
        <f t="shared" si="36"/>
        <v>4</v>
      </c>
      <c r="L1207" s="95">
        <v>5000000</v>
      </c>
      <c r="M1207" s="96" t="s">
        <v>2651</v>
      </c>
      <c r="N1207" s="95">
        <v>200</v>
      </c>
      <c r="O1207" s="94" t="s">
        <v>35</v>
      </c>
      <c r="P1207" s="97">
        <f>N1207*55000</f>
        <v>11000000</v>
      </c>
      <c r="Q1207" s="96" t="s">
        <v>2657</v>
      </c>
      <c r="R1207" s="98">
        <v>1000</v>
      </c>
      <c r="S1207" s="94" t="s">
        <v>422</v>
      </c>
      <c r="T1207" s="97">
        <f>R1207*4000</f>
        <v>4000000</v>
      </c>
      <c r="U1207" s="94" t="s">
        <v>22</v>
      </c>
      <c r="V1207" s="94"/>
      <c r="W1207" s="94"/>
      <c r="X1207" s="94"/>
      <c r="Y1207" s="94">
        <v>90</v>
      </c>
      <c r="Z1207" s="94">
        <v>10</v>
      </c>
      <c r="AA1207" s="94">
        <v>0</v>
      </c>
      <c r="AB1207" s="94">
        <v>0</v>
      </c>
      <c r="AC1207" s="94"/>
    </row>
    <row r="1208" spans="1:84" x14ac:dyDescent="0.2">
      <c r="A1208" s="17" t="s">
        <v>3921</v>
      </c>
      <c r="B1208" s="17" t="s">
        <v>45</v>
      </c>
      <c r="C1208" s="17">
        <v>2025</v>
      </c>
      <c r="D1208" s="17" t="str">
        <f t="array" ref="D1208">_xlfn.SWITCH(E1208,"Bagor","35.18.14","Sukomoro",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08" s="94" t="s">
        <v>45</v>
      </c>
      <c r="F1208" s="93" t="s">
        <v>2658</v>
      </c>
      <c r="G1208" s="114" t="s">
        <v>2659</v>
      </c>
      <c r="H1208" s="101" t="s">
        <v>31</v>
      </c>
      <c r="I1208" s="94">
        <v>2</v>
      </c>
      <c r="J1208" s="94">
        <v>4</v>
      </c>
      <c r="K1208" s="94">
        <f t="shared" si="36"/>
        <v>6</v>
      </c>
      <c r="L1208" s="95">
        <v>10000000</v>
      </c>
      <c r="M1208" s="96" t="s">
        <v>2660</v>
      </c>
      <c r="N1208" s="95">
        <v>500</v>
      </c>
      <c r="O1208" s="94" t="s">
        <v>35</v>
      </c>
      <c r="P1208" s="97">
        <f>N1208*75000</f>
        <v>37500000</v>
      </c>
      <c r="Q1208" s="96" t="s">
        <v>2528</v>
      </c>
      <c r="R1208" s="98">
        <v>700</v>
      </c>
      <c r="S1208" s="94" t="s">
        <v>422</v>
      </c>
      <c r="T1208" s="97">
        <f>R1208*25000</f>
        <v>17500000</v>
      </c>
      <c r="U1208" s="94" t="s">
        <v>22</v>
      </c>
      <c r="V1208" s="94"/>
      <c r="W1208" s="94"/>
      <c r="X1208" s="94"/>
      <c r="Y1208" s="94">
        <v>80</v>
      </c>
      <c r="Z1208" s="94">
        <v>20</v>
      </c>
      <c r="AA1208" s="94">
        <v>0</v>
      </c>
      <c r="AB1208" s="94">
        <v>0</v>
      </c>
      <c r="AC1208" s="94"/>
    </row>
    <row r="1209" spans="1:84" x14ac:dyDescent="0.2">
      <c r="A1209" s="17" t="s">
        <v>3921</v>
      </c>
      <c r="B1209" s="17" t="s">
        <v>45</v>
      </c>
      <c r="C1209" s="17">
        <v>2025</v>
      </c>
      <c r="D1209" s="17" t="str">
        <f t="array" ref="D1209">_xlfn.SWITCH(E1209,"Jatikalen","35.18.20","Kertosono", "35.18.08","Lengkong","35.18.19","Loceret","35.18.04","Tanjunganom","35.18.11","Wilangan","35.18.15")</f>
        <v>35.18.04</v>
      </c>
      <c r="E1209" s="94" t="s">
        <v>41</v>
      </c>
      <c r="F1209" s="93" t="s">
        <v>2661</v>
      </c>
      <c r="G1209" s="114" t="s">
        <v>2662</v>
      </c>
      <c r="H1209" s="101" t="s">
        <v>31</v>
      </c>
      <c r="I1209" s="94">
        <v>1</v>
      </c>
      <c r="J1209" s="94">
        <v>3</v>
      </c>
      <c r="K1209" s="101">
        <f t="shared" si="36"/>
        <v>4</v>
      </c>
      <c r="L1209" s="95">
        <v>15000000</v>
      </c>
      <c r="M1209" s="96" t="s">
        <v>2663</v>
      </c>
      <c r="N1209" s="95">
        <v>450</v>
      </c>
      <c r="O1209" s="94" t="s">
        <v>35</v>
      </c>
      <c r="P1209" s="97">
        <f>N1209*18000*10</f>
        <v>81000000</v>
      </c>
      <c r="Q1209" s="96" t="s">
        <v>1553</v>
      </c>
      <c r="R1209" s="98">
        <v>900</v>
      </c>
      <c r="S1209" s="94" t="s">
        <v>422</v>
      </c>
      <c r="T1209" s="97">
        <f>R1209*28000</f>
        <v>25200000</v>
      </c>
      <c r="U1209" s="94" t="s">
        <v>22</v>
      </c>
      <c r="V1209" s="94"/>
      <c r="W1209" s="94"/>
      <c r="X1209" s="94"/>
      <c r="Y1209" s="94">
        <v>80</v>
      </c>
      <c r="Z1209" s="94">
        <v>20</v>
      </c>
      <c r="AA1209" s="94">
        <v>0</v>
      </c>
      <c r="AB1209" s="94">
        <v>0</v>
      </c>
      <c r="AC1209" s="94"/>
    </row>
    <row r="1210" spans="1:84" ht="20" x14ac:dyDescent="0.2">
      <c r="A1210" s="17" t="s">
        <v>3921</v>
      </c>
      <c r="B1210" s="17" t="s">
        <v>45</v>
      </c>
      <c r="C1210" s="17">
        <v>2025</v>
      </c>
      <c r="D1210" s="17" t="str">
        <f t="array" ref="D1210">_xlfn.SWITCH(E1210,"Bagor","35.18.14","Sukomoro",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0" s="94" t="s">
        <v>45</v>
      </c>
      <c r="F1210" s="93" t="s">
        <v>2664</v>
      </c>
      <c r="G1210" s="114" t="s">
        <v>2665</v>
      </c>
      <c r="H1210" s="101" t="s">
        <v>31</v>
      </c>
      <c r="I1210" s="94">
        <v>2</v>
      </c>
      <c r="J1210" s="94">
        <v>2</v>
      </c>
      <c r="K1210" s="94">
        <f t="shared" si="36"/>
        <v>4</v>
      </c>
      <c r="L1210" s="95">
        <v>5000000</v>
      </c>
      <c r="M1210" s="96" t="s">
        <v>2666</v>
      </c>
      <c r="N1210" s="95">
        <v>250</v>
      </c>
      <c r="O1210" s="94" t="s">
        <v>35</v>
      </c>
      <c r="P1210" s="97">
        <f>N1210*60000</f>
        <v>15000000</v>
      </c>
      <c r="Q1210" s="96" t="s">
        <v>2667</v>
      </c>
      <c r="R1210" s="98">
        <v>400</v>
      </c>
      <c r="S1210" s="94" t="s">
        <v>422</v>
      </c>
      <c r="T1210" s="97">
        <f>R1210*25000</f>
        <v>10000000</v>
      </c>
      <c r="U1210" s="94" t="s">
        <v>22</v>
      </c>
      <c r="V1210" s="94"/>
      <c r="W1210" s="94"/>
      <c r="X1210" s="94"/>
      <c r="Y1210" s="94">
        <v>80</v>
      </c>
      <c r="Z1210" s="94">
        <v>20</v>
      </c>
      <c r="AA1210" s="94">
        <v>0</v>
      </c>
      <c r="AB1210" s="94">
        <v>0</v>
      </c>
      <c r="AC1210" s="94"/>
    </row>
    <row r="1211" spans="1:84" ht="20" x14ac:dyDescent="0.2">
      <c r="A1211" s="17" t="s">
        <v>3921</v>
      </c>
      <c r="B1211" s="17" t="s">
        <v>45</v>
      </c>
      <c r="C1211" s="17">
        <v>2025</v>
      </c>
      <c r="D1211" s="17" t="str">
        <f t="array" ref="D1211">_xlfn.SWITCH(E1211,"Bagor","35.18.14","Sukomoro",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1" s="94" t="s">
        <v>45</v>
      </c>
      <c r="F1211" s="93" t="s">
        <v>2668</v>
      </c>
      <c r="G1211" s="114" t="s">
        <v>2669</v>
      </c>
      <c r="H1211" s="101" t="s">
        <v>31</v>
      </c>
      <c r="I1211" s="94">
        <v>1</v>
      </c>
      <c r="J1211" s="94">
        <v>2</v>
      </c>
      <c r="K1211" s="101">
        <f t="shared" si="36"/>
        <v>3</v>
      </c>
      <c r="L1211" s="95">
        <v>5000000</v>
      </c>
      <c r="M1211" s="96" t="s">
        <v>2670</v>
      </c>
      <c r="N1211" s="95">
        <v>500</v>
      </c>
      <c r="O1211" s="94" t="s">
        <v>35</v>
      </c>
      <c r="P1211" s="97">
        <f>N1211*20000</f>
        <v>10000000</v>
      </c>
      <c r="Q1211" s="96" t="s">
        <v>2671</v>
      </c>
      <c r="R1211" s="98">
        <v>700</v>
      </c>
      <c r="S1211" s="94" t="s">
        <v>422</v>
      </c>
      <c r="T1211" s="97">
        <f>R1211*10000</f>
        <v>7000000</v>
      </c>
      <c r="U1211" s="94" t="s">
        <v>22</v>
      </c>
      <c r="V1211" s="94"/>
      <c r="W1211" s="94"/>
      <c r="X1211" s="94"/>
      <c r="Y1211" s="94">
        <v>75</v>
      </c>
      <c r="Z1211" s="94">
        <v>20</v>
      </c>
      <c r="AA1211" s="94">
        <v>5</v>
      </c>
      <c r="AB1211" s="94">
        <v>0</v>
      </c>
      <c r="AC1211" s="94"/>
    </row>
    <row r="1212" spans="1:84" ht="20" x14ac:dyDescent="0.2">
      <c r="A1212" s="17" t="s">
        <v>3921</v>
      </c>
      <c r="B1212" s="17" t="s">
        <v>45</v>
      </c>
      <c r="C1212" s="17">
        <v>2025</v>
      </c>
      <c r="D1212" s="17" t="str">
        <f t="array" ref="D1212">_xlfn.SWITCH(E1212,"Jatikalen","35.18.20","Kertosono", "35.18.08","Lengkong","35.18.19","Loceret","35.18.04","Tanjunganom","35.18.11","Wilangan","35.18.15")</f>
        <v>35.18.04</v>
      </c>
      <c r="E1212" s="94" t="s">
        <v>41</v>
      </c>
      <c r="F1212" s="93" t="s">
        <v>2277</v>
      </c>
      <c r="G1212" s="93" t="s">
        <v>2672</v>
      </c>
      <c r="H1212" s="101" t="s">
        <v>31</v>
      </c>
      <c r="I1212" s="94">
        <v>1</v>
      </c>
      <c r="J1212" s="94">
        <v>2</v>
      </c>
      <c r="K1212" s="94">
        <f t="shared" si="36"/>
        <v>3</v>
      </c>
      <c r="L1212" s="95">
        <v>5000000</v>
      </c>
      <c r="M1212" s="96" t="s">
        <v>2673</v>
      </c>
      <c r="N1212" s="95">
        <v>750</v>
      </c>
      <c r="O1212" s="94" t="s">
        <v>49</v>
      </c>
      <c r="P1212" s="97">
        <f>N1212*15000</f>
        <v>11250000</v>
      </c>
      <c r="Q1212" s="96" t="s">
        <v>2674</v>
      </c>
      <c r="R1212" s="98">
        <v>1000</v>
      </c>
      <c r="S1212" s="94" t="s">
        <v>422</v>
      </c>
      <c r="T1212" s="97">
        <f>R1212*2000</f>
        <v>2000000</v>
      </c>
      <c r="U1212" s="94" t="s">
        <v>22</v>
      </c>
      <c r="V1212" s="94"/>
      <c r="W1212" s="94"/>
      <c r="X1212" s="94"/>
      <c r="Y1212" s="94">
        <v>100</v>
      </c>
      <c r="Z1212" s="94">
        <v>0</v>
      </c>
      <c r="AA1212" s="94">
        <v>0</v>
      </c>
      <c r="AB1212" s="94">
        <v>0</v>
      </c>
      <c r="AC1212" s="94"/>
    </row>
    <row r="1213" spans="1:84" ht="20" x14ac:dyDescent="0.2">
      <c r="A1213" s="17" t="s">
        <v>3921</v>
      </c>
      <c r="B1213" s="17" t="s">
        <v>45</v>
      </c>
      <c r="C1213" s="17">
        <v>2025</v>
      </c>
      <c r="D1213" s="17" t="str">
        <f t="array" ref="D1213">_xlfn.SWITCH(E1213,"Bagor","35.18.14","Sukomoro",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3" s="94" t="s">
        <v>45</v>
      </c>
      <c r="F1213" s="93" t="s">
        <v>2675</v>
      </c>
      <c r="G1213" s="93" t="s">
        <v>2676</v>
      </c>
      <c r="H1213" s="101" t="s">
        <v>31</v>
      </c>
      <c r="I1213" s="94">
        <v>1</v>
      </c>
      <c r="J1213" s="94">
        <v>2</v>
      </c>
      <c r="K1213" s="101">
        <f t="shared" si="36"/>
        <v>3</v>
      </c>
      <c r="L1213" s="95">
        <v>5000000</v>
      </c>
      <c r="M1213" s="96" t="s">
        <v>2594</v>
      </c>
      <c r="N1213" s="95">
        <v>500</v>
      </c>
      <c r="O1213" s="94" t="s">
        <v>35</v>
      </c>
      <c r="P1213" s="97">
        <f>N1213*35000</f>
        <v>17500000</v>
      </c>
      <c r="Q1213" s="96" t="s">
        <v>2594</v>
      </c>
      <c r="R1213" s="98">
        <v>500</v>
      </c>
      <c r="S1213" s="94" t="s">
        <v>422</v>
      </c>
      <c r="T1213" s="97">
        <f>R1213*30000</f>
        <v>15000000</v>
      </c>
      <c r="U1213" s="94" t="s">
        <v>22</v>
      </c>
      <c r="V1213" s="94"/>
      <c r="W1213" s="94"/>
      <c r="X1213" s="94"/>
      <c r="Y1213" s="94">
        <v>80</v>
      </c>
      <c r="Z1213" s="94">
        <v>20</v>
      </c>
      <c r="AA1213" s="94">
        <v>0</v>
      </c>
      <c r="AB1213" s="94">
        <v>0</v>
      </c>
      <c r="AC1213" s="94"/>
    </row>
    <row r="1214" spans="1:84" x14ac:dyDescent="0.2">
      <c r="A1214" s="17" t="s">
        <v>3921</v>
      </c>
      <c r="B1214" s="17" t="s">
        <v>45</v>
      </c>
      <c r="C1214" s="17">
        <v>2025</v>
      </c>
      <c r="D1214" s="17" t="str">
        <f t="array" ref="D1214">_xlfn.SWITCH(E1214,"Bagor","35.18.14","Sukomoro",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4" s="94" t="s">
        <v>45</v>
      </c>
      <c r="F1214" s="93" t="s">
        <v>2677</v>
      </c>
      <c r="G1214" s="93" t="s">
        <v>2678</v>
      </c>
      <c r="H1214" s="101" t="s">
        <v>31</v>
      </c>
      <c r="I1214" s="94">
        <v>1</v>
      </c>
      <c r="J1214" s="94">
        <v>5</v>
      </c>
      <c r="K1214" s="94">
        <f t="shared" si="36"/>
        <v>6</v>
      </c>
      <c r="L1214" s="95">
        <v>7500000</v>
      </c>
      <c r="M1214" s="96" t="s">
        <v>2142</v>
      </c>
      <c r="N1214" s="95">
        <v>5000</v>
      </c>
      <c r="O1214" s="94" t="s">
        <v>49</v>
      </c>
      <c r="P1214" s="97">
        <f>N1214*2500</f>
        <v>12500000</v>
      </c>
      <c r="Q1214" s="96" t="s">
        <v>159</v>
      </c>
      <c r="R1214" s="98">
        <v>100</v>
      </c>
      <c r="S1214" s="94" t="s">
        <v>422</v>
      </c>
      <c r="T1214" s="97">
        <f>R1214*15000</f>
        <v>1500000</v>
      </c>
      <c r="U1214" s="94" t="s">
        <v>22</v>
      </c>
      <c r="V1214" s="94"/>
      <c r="W1214" s="94"/>
      <c r="X1214" s="94"/>
      <c r="Y1214" s="94">
        <v>100</v>
      </c>
      <c r="Z1214" s="94">
        <v>0</v>
      </c>
      <c r="AA1214" s="94">
        <v>0</v>
      </c>
      <c r="AB1214" s="94">
        <v>0</v>
      </c>
      <c r="AC1214" s="94"/>
    </row>
    <row r="1215" spans="1:84" x14ac:dyDescent="0.2">
      <c r="A1215" s="17" t="s">
        <v>3921</v>
      </c>
      <c r="B1215" s="17" t="s">
        <v>45</v>
      </c>
      <c r="C1215" s="17">
        <v>2025</v>
      </c>
      <c r="D1215" s="17" t="str">
        <f t="array" ref="D1215">_xlfn.SWITCH(E1215,"Bagor","35.18.14","Sukomoro",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5" s="94" t="s">
        <v>45</v>
      </c>
      <c r="F1215" s="93" t="s">
        <v>2491</v>
      </c>
      <c r="G1215" s="93" t="s">
        <v>2679</v>
      </c>
      <c r="H1215" s="101" t="s">
        <v>31</v>
      </c>
      <c r="I1215" s="94">
        <v>2</v>
      </c>
      <c r="J1215" s="94">
        <v>3</v>
      </c>
      <c r="K1215" s="101">
        <f t="shared" si="36"/>
        <v>5</v>
      </c>
      <c r="L1215" s="95">
        <v>5000000</v>
      </c>
      <c r="M1215" s="96" t="s">
        <v>1412</v>
      </c>
      <c r="N1215" s="95">
        <v>1000</v>
      </c>
      <c r="O1215" s="94" t="s">
        <v>2680</v>
      </c>
      <c r="P1215" s="97">
        <f>N1215*2500</f>
        <v>2500000</v>
      </c>
      <c r="Q1215" s="96" t="s">
        <v>2681</v>
      </c>
      <c r="R1215" s="98">
        <v>1000</v>
      </c>
      <c r="S1215" s="94" t="s">
        <v>2682</v>
      </c>
      <c r="T1215" s="97">
        <f>R1215*1500</f>
        <v>1500000</v>
      </c>
      <c r="U1215" s="94" t="s">
        <v>22</v>
      </c>
      <c r="V1215" s="94"/>
      <c r="W1215" s="94"/>
      <c r="X1215" s="94"/>
      <c r="Y1215" s="94">
        <v>80</v>
      </c>
      <c r="Z1215" s="94">
        <v>20</v>
      </c>
      <c r="AA1215" s="94">
        <v>0</v>
      </c>
      <c r="AB1215" s="94">
        <v>0</v>
      </c>
      <c r="AC1215" s="94"/>
    </row>
    <row r="1216" spans="1:84" ht="20" x14ac:dyDescent="0.2">
      <c r="A1216" s="17" t="s">
        <v>3921</v>
      </c>
      <c r="B1216" s="17" t="s">
        <v>45</v>
      </c>
      <c r="C1216" s="17">
        <v>2025</v>
      </c>
      <c r="D1216" s="17" t="str">
        <f t="array" ref="D1216">_xlfn.SWITCH(E1216,"Jatikalen","35.18.20","Kertosono", "35.18.08","Lengkong","35.18.19","Loceret","35.18.04","Tanjunganom","35.18.11","Wilangan","35.18.15")</f>
        <v>35.18.04</v>
      </c>
      <c r="E1216" s="94" t="s">
        <v>41</v>
      </c>
      <c r="F1216" s="93" t="s">
        <v>2661</v>
      </c>
      <c r="G1216" s="93" t="s">
        <v>2683</v>
      </c>
      <c r="H1216" s="101" t="s">
        <v>31</v>
      </c>
      <c r="I1216" s="94">
        <v>6</v>
      </c>
      <c r="J1216" s="94">
        <v>12</v>
      </c>
      <c r="K1216" s="94">
        <f t="shared" si="36"/>
        <v>18</v>
      </c>
      <c r="L1216" s="95">
        <v>30000000</v>
      </c>
      <c r="M1216" s="96" t="s">
        <v>2684</v>
      </c>
      <c r="N1216" s="95">
        <v>10000</v>
      </c>
      <c r="O1216" s="94" t="s">
        <v>35</v>
      </c>
      <c r="P1216" s="97">
        <f>N1216*30000</f>
        <v>300000000</v>
      </c>
      <c r="Q1216" s="96" t="s">
        <v>2685</v>
      </c>
      <c r="R1216" s="98">
        <v>15000</v>
      </c>
      <c r="S1216" s="94" t="s">
        <v>422</v>
      </c>
      <c r="T1216" s="97">
        <f>R1216*15000</f>
        <v>225000000</v>
      </c>
      <c r="U1216" s="94" t="s">
        <v>22</v>
      </c>
      <c r="V1216" s="94"/>
      <c r="W1216" s="94"/>
      <c r="X1216" s="94"/>
      <c r="Y1216" s="94">
        <v>70</v>
      </c>
      <c r="Z1216" s="94">
        <v>25</v>
      </c>
      <c r="AA1216" s="94">
        <v>5</v>
      </c>
      <c r="AB1216" s="94">
        <v>0</v>
      </c>
      <c r="AC1216" s="94"/>
    </row>
    <row r="1217" spans="1:84" x14ac:dyDescent="0.2">
      <c r="A1217" s="17" t="s">
        <v>3921</v>
      </c>
      <c r="B1217" s="17" t="s">
        <v>45</v>
      </c>
      <c r="C1217" s="17">
        <v>2025</v>
      </c>
      <c r="D1217" s="17" t="str">
        <f t="array" ref="D1217">_xlfn.SWITCH(E1217,"Jatikalen","35.18.20","Kertosono", "35.18.08","Lengkong","35.18.19","Loceret","35.18.04","Tanjunganom","35.18.11","Wilangan","35.18.15")</f>
        <v>35.18.04</v>
      </c>
      <c r="E1217" s="94" t="s">
        <v>41</v>
      </c>
      <c r="F1217" s="93" t="s">
        <v>1480</v>
      </c>
      <c r="G1217" s="93" t="s">
        <v>2686</v>
      </c>
      <c r="H1217" s="101" t="s">
        <v>31</v>
      </c>
      <c r="I1217" s="94">
        <v>2</v>
      </c>
      <c r="J1217" s="94">
        <v>4</v>
      </c>
      <c r="K1217" s="101">
        <f t="shared" si="36"/>
        <v>6</v>
      </c>
      <c r="L1217" s="95">
        <v>15000000</v>
      </c>
      <c r="M1217" s="96" t="s">
        <v>2142</v>
      </c>
      <c r="N1217" s="95">
        <v>2500</v>
      </c>
      <c r="O1217" s="94" t="s">
        <v>49</v>
      </c>
      <c r="P1217" s="97">
        <f>N1217*2000</f>
        <v>5000000</v>
      </c>
      <c r="Q1217" s="96" t="s">
        <v>159</v>
      </c>
      <c r="R1217" s="98">
        <v>50</v>
      </c>
      <c r="S1217" s="94" t="s">
        <v>422</v>
      </c>
      <c r="T1217" s="97">
        <f>R1217*15000</f>
        <v>750000</v>
      </c>
      <c r="U1217" s="94" t="s">
        <v>22</v>
      </c>
      <c r="V1217" s="94"/>
      <c r="W1217" s="94"/>
      <c r="X1217" s="94"/>
      <c r="Y1217" s="94">
        <v>100</v>
      </c>
      <c r="Z1217" s="94">
        <v>0</v>
      </c>
      <c r="AA1217" s="94">
        <v>0</v>
      </c>
      <c r="AB1217" s="94">
        <v>0</v>
      </c>
      <c r="AC1217" s="94"/>
    </row>
    <row r="1218" spans="1:84" x14ac:dyDescent="0.2">
      <c r="A1218" s="17" t="s">
        <v>3921</v>
      </c>
      <c r="B1218" s="17" t="s">
        <v>45</v>
      </c>
      <c r="C1218" s="17">
        <v>2025</v>
      </c>
      <c r="D1218" s="17" t="str">
        <f t="array" ref="D1218">_xlfn.SWITCH(E1218,"Jatikalen","35.18.20","Kertosono", "35.18.08","Lengkong","35.18.19","Loceret","35.18.04","Tanjunganom","35.18.11","Wilangan","35.18.15")</f>
        <v>35.18.08</v>
      </c>
      <c r="E1218" s="94" t="s">
        <v>128</v>
      </c>
      <c r="F1218" s="93" t="s">
        <v>2687</v>
      </c>
      <c r="G1218" s="93" t="s">
        <v>2688</v>
      </c>
      <c r="H1218" s="101" t="s">
        <v>31</v>
      </c>
      <c r="I1218" s="94">
        <v>2</v>
      </c>
      <c r="J1218" s="94">
        <v>15</v>
      </c>
      <c r="K1218" s="94">
        <f t="shared" si="36"/>
        <v>17</v>
      </c>
      <c r="L1218" s="95">
        <v>5000000</v>
      </c>
      <c r="M1218" s="96" t="s">
        <v>2689</v>
      </c>
      <c r="N1218" s="95">
        <v>5000</v>
      </c>
      <c r="O1218" s="94" t="s">
        <v>49</v>
      </c>
      <c r="P1218" s="97">
        <f>N1218*7500</f>
        <v>37500000</v>
      </c>
      <c r="Q1218" s="96" t="s">
        <v>2690</v>
      </c>
      <c r="R1218" s="98">
        <v>12</v>
      </c>
      <c r="S1218" s="94" t="s">
        <v>2691</v>
      </c>
      <c r="T1218" s="97">
        <f>R1218*200000</f>
        <v>2400000</v>
      </c>
      <c r="U1218" s="94" t="s">
        <v>22</v>
      </c>
      <c r="V1218" s="94"/>
      <c r="W1218" s="94"/>
      <c r="X1218" s="94"/>
      <c r="Y1218" s="94">
        <v>75</v>
      </c>
      <c r="Z1218" s="94">
        <v>20</v>
      </c>
      <c r="AA1218" s="94">
        <v>5</v>
      </c>
      <c r="AB1218" s="94">
        <v>0</v>
      </c>
      <c r="AC1218" s="94"/>
    </row>
    <row r="1219" spans="1:84" ht="30" x14ac:dyDescent="0.2">
      <c r="A1219" s="17" t="s">
        <v>3921</v>
      </c>
      <c r="B1219" s="17" t="s">
        <v>45</v>
      </c>
      <c r="C1219" s="17">
        <v>2025</v>
      </c>
      <c r="D1219" s="17" t="str">
        <f t="array" ref="D1219">_xlfn.SWITCH(E1219,"Bagor","35.18.14","Sukomoro",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9" s="16" t="s">
        <v>45</v>
      </c>
      <c r="F1219" s="17" t="s">
        <v>2692</v>
      </c>
      <c r="G1219" s="115" t="s">
        <v>2693</v>
      </c>
      <c r="H1219" s="101" t="s">
        <v>31</v>
      </c>
      <c r="I1219" s="94">
        <v>6</v>
      </c>
      <c r="J1219" s="94">
        <v>12</v>
      </c>
      <c r="K1219" s="94">
        <f t="shared" si="36"/>
        <v>18</v>
      </c>
      <c r="L1219" s="95">
        <v>5000000</v>
      </c>
      <c r="M1219" s="17" t="s">
        <v>2694</v>
      </c>
      <c r="N1219" s="116">
        <v>10000</v>
      </c>
      <c r="O1219" s="116" t="s">
        <v>1420</v>
      </c>
      <c r="P1219" s="116">
        <v>30000000</v>
      </c>
      <c r="Q1219" s="96" t="s">
        <v>2695</v>
      </c>
      <c r="R1219" s="98">
        <v>3000</v>
      </c>
      <c r="S1219" s="94" t="s">
        <v>422</v>
      </c>
      <c r="T1219" s="97">
        <v>20000000</v>
      </c>
      <c r="U1219" s="94" t="s">
        <v>22</v>
      </c>
      <c r="V1219" s="94"/>
      <c r="W1219" s="94"/>
      <c r="X1219" s="94"/>
      <c r="Y1219" s="94"/>
      <c r="Z1219" s="94"/>
      <c r="AA1219" s="94"/>
      <c r="AB1219" s="94"/>
      <c r="AC1219" s="94"/>
    </row>
    <row r="1220" spans="1:84" ht="20" x14ac:dyDescent="0.2">
      <c r="A1220" s="17" t="s">
        <v>3921</v>
      </c>
      <c r="B1220" s="17" t="s">
        <v>45</v>
      </c>
      <c r="C1220" s="17">
        <v>2025</v>
      </c>
      <c r="D1220" s="17" t="str">
        <f t="array" ref="D1220">_xlfn.SWITCH(E1220,"Bagor","35.18.14","Sukomoro",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20" s="16" t="s">
        <v>2530</v>
      </c>
      <c r="F1220" s="17" t="s">
        <v>2696</v>
      </c>
      <c r="G1220" s="115" t="s">
        <v>2697</v>
      </c>
      <c r="H1220" s="101" t="s">
        <v>31</v>
      </c>
      <c r="I1220" s="94">
        <v>2</v>
      </c>
      <c r="J1220" s="94">
        <v>1</v>
      </c>
      <c r="K1220" s="94">
        <f t="shared" si="36"/>
        <v>3</v>
      </c>
      <c r="L1220" s="95">
        <v>7500000</v>
      </c>
      <c r="M1220" s="17" t="s">
        <v>2698</v>
      </c>
      <c r="N1220" s="95">
        <v>5000</v>
      </c>
      <c r="O1220" s="94" t="s">
        <v>49</v>
      </c>
      <c r="P1220" s="97">
        <f>N1220*2500</f>
        <v>12500000</v>
      </c>
      <c r="Q1220" s="96" t="s">
        <v>159</v>
      </c>
      <c r="R1220" s="98">
        <v>100</v>
      </c>
      <c r="S1220" s="94" t="s">
        <v>422</v>
      </c>
      <c r="T1220" s="97">
        <f>R1220*15000</f>
        <v>1500000</v>
      </c>
      <c r="U1220" s="94" t="s">
        <v>22</v>
      </c>
      <c r="V1220" s="94"/>
      <c r="W1220" s="94"/>
      <c r="X1220" s="94"/>
      <c r="Y1220" s="94">
        <v>100</v>
      </c>
      <c r="Z1220" s="94">
        <v>0</v>
      </c>
      <c r="AA1220" s="94">
        <v>0</v>
      </c>
      <c r="AB1220" s="94">
        <v>0</v>
      </c>
      <c r="AC1220" s="94"/>
    </row>
    <row r="1221" spans="1:84" s="3" customFormat="1" ht="20" x14ac:dyDescent="0.2">
      <c r="A1221" s="17" t="s">
        <v>3921</v>
      </c>
      <c r="B1221" s="17" t="s">
        <v>45</v>
      </c>
      <c r="C1221" s="17">
        <v>2025</v>
      </c>
      <c r="D1221" s="17" t="str">
        <f t="array" ref="D1221">_xlfn.SWITCH(E1221,"Jatikalen","35.18.20","Kertosono", "35.18.08","Lengkong","35.18.19","Loceret","35.18.04","Tanjunganom","35.18.11","Wilangan","35.18.15")</f>
        <v>35.18.11</v>
      </c>
      <c r="E1221" s="16" t="s">
        <v>60</v>
      </c>
      <c r="F1221" s="17" t="s">
        <v>2699</v>
      </c>
      <c r="G1221" s="17" t="s">
        <v>2700</v>
      </c>
      <c r="H1221" s="101" t="s">
        <v>31</v>
      </c>
      <c r="I1221" s="94">
        <v>2</v>
      </c>
      <c r="J1221" s="94">
        <v>2</v>
      </c>
      <c r="K1221" s="94">
        <f t="shared" si="36"/>
        <v>4</v>
      </c>
      <c r="L1221" s="95">
        <v>2000000</v>
      </c>
      <c r="M1221" s="96" t="s">
        <v>2701</v>
      </c>
      <c r="N1221" s="95">
        <f>15*25*12</f>
        <v>4500</v>
      </c>
      <c r="O1221" s="94" t="s">
        <v>422</v>
      </c>
      <c r="P1221" s="97">
        <v>60000000</v>
      </c>
      <c r="Q1221" s="96" t="s">
        <v>2587</v>
      </c>
      <c r="R1221" s="98">
        <v>2000</v>
      </c>
      <c r="S1221" s="94" t="s">
        <v>422</v>
      </c>
      <c r="T1221" s="97">
        <f>R1221*22000</f>
        <v>44000000</v>
      </c>
      <c r="U1221" s="94" t="s">
        <v>22</v>
      </c>
      <c r="V1221" s="94" t="s">
        <v>2579</v>
      </c>
      <c r="W1221" s="94">
        <v>75</v>
      </c>
      <c r="X1221" s="94" t="s">
        <v>422</v>
      </c>
      <c r="Y1221" s="94">
        <v>80</v>
      </c>
      <c r="Z1221" s="94">
        <v>20</v>
      </c>
      <c r="AA1221" s="94">
        <v>0</v>
      </c>
      <c r="AB1221" s="94">
        <v>0</v>
      </c>
      <c r="AC1221" s="94"/>
      <c r="AE1221" s="1"/>
      <c r="AF1221" s="2"/>
      <c r="AG1221" s="1"/>
      <c r="AH1221" s="1"/>
      <c r="AI1221" s="1"/>
      <c r="AJ1221" s="1"/>
      <c r="AK1221" s="1"/>
      <c r="AL1221" s="1"/>
      <c r="AM1221" s="1"/>
      <c r="AN1221" s="1"/>
      <c r="AO1221" s="1"/>
      <c r="AP1221" s="1"/>
      <c r="AQ1221" s="1"/>
      <c r="AR1221" s="1"/>
      <c r="AS1221" s="1"/>
      <c r="AT1221" s="1"/>
      <c r="AU1221" s="1"/>
      <c r="AV1221" s="1"/>
      <c r="AW1221" s="1"/>
      <c r="AX1221" s="1"/>
      <c r="AY1221" s="1"/>
      <c r="AZ1221" s="1"/>
      <c r="BA1221" s="1"/>
      <c r="BB1221" s="1"/>
      <c r="BC1221" s="1"/>
      <c r="BD1221" s="1"/>
      <c r="BE1221" s="1"/>
      <c r="BF1221" s="1"/>
      <c r="BG1221" s="1"/>
      <c r="BH1221" s="1"/>
      <c r="BI1221" s="1"/>
      <c r="BJ1221" s="1"/>
      <c r="BK1221" s="1"/>
      <c r="BL1221" s="1"/>
      <c r="BM1221" s="1"/>
      <c r="BN1221" s="1"/>
      <c r="BO1221" s="1"/>
      <c r="BP1221" s="1"/>
      <c r="BQ1221" s="1"/>
      <c r="BR1221" s="1"/>
      <c r="BS1221" s="1"/>
      <c r="BT1221" s="1"/>
      <c r="BU1221" s="1"/>
      <c r="BV1221" s="1"/>
      <c r="BW1221" s="1"/>
      <c r="BX1221" s="1"/>
      <c r="BY1221" s="1"/>
      <c r="BZ1221" s="1"/>
      <c r="CA1221" s="1"/>
      <c r="CB1221" s="1"/>
      <c r="CC1221" s="1"/>
      <c r="CD1221" s="1"/>
      <c r="CE1221" s="1"/>
      <c r="CF1221" s="1"/>
    </row>
    <row r="1222" spans="1:84" s="3" customFormat="1" x14ac:dyDescent="0.2">
      <c r="A1222" s="17" t="s">
        <v>3921</v>
      </c>
      <c r="B1222" s="17" t="s">
        <v>45</v>
      </c>
      <c r="C1222" s="17">
        <v>2025</v>
      </c>
      <c r="D1222" s="17" t="str">
        <f t="array" ref="D1222">_xlfn.SWITCH(E1222,"Bagor","35.18.14","Sukomoro",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22" s="16" t="s">
        <v>124</v>
      </c>
      <c r="F1222" s="17" t="s">
        <v>2702</v>
      </c>
      <c r="G1222" s="17" t="s">
        <v>2703</v>
      </c>
      <c r="H1222" s="101" t="s">
        <v>31</v>
      </c>
      <c r="I1222" s="94">
        <v>1</v>
      </c>
      <c r="J1222" s="94">
        <v>1</v>
      </c>
      <c r="K1222" s="94">
        <f t="shared" si="36"/>
        <v>2</v>
      </c>
      <c r="L1222" s="95">
        <v>3000000</v>
      </c>
      <c r="M1222" s="96" t="s">
        <v>2142</v>
      </c>
      <c r="N1222" s="95">
        <v>2500</v>
      </c>
      <c r="O1222" s="94" t="s">
        <v>49</v>
      </c>
      <c r="P1222" s="97">
        <f>N1222*2000</f>
        <v>5000000</v>
      </c>
      <c r="Q1222" s="96" t="s">
        <v>159</v>
      </c>
      <c r="R1222" s="98">
        <v>50</v>
      </c>
      <c r="S1222" s="94" t="s">
        <v>422</v>
      </c>
      <c r="T1222" s="97">
        <f>R1222*15000</f>
        <v>750000</v>
      </c>
      <c r="U1222" s="94" t="s">
        <v>22</v>
      </c>
      <c r="V1222" s="94"/>
      <c r="W1222" s="94"/>
      <c r="X1222" s="94"/>
      <c r="Y1222" s="94">
        <v>100</v>
      </c>
      <c r="Z1222" s="94">
        <v>0</v>
      </c>
      <c r="AA1222" s="94">
        <v>0</v>
      </c>
      <c r="AB1222" s="94">
        <v>0</v>
      </c>
      <c r="AC1222" s="94"/>
      <c r="AE1222" s="1"/>
      <c r="AF1222" s="2"/>
      <c r="AG1222" s="1"/>
      <c r="AH1222" s="1"/>
      <c r="AI1222" s="1"/>
      <c r="AJ1222" s="1"/>
      <c r="AK1222" s="1"/>
      <c r="AL1222" s="1"/>
      <c r="AM1222" s="1"/>
      <c r="AN1222" s="1"/>
      <c r="AO1222" s="1"/>
      <c r="AP1222" s="1"/>
      <c r="AQ1222" s="1"/>
      <c r="AR1222" s="1"/>
      <c r="AS1222" s="1"/>
      <c r="AT1222" s="1"/>
      <c r="AU1222" s="1"/>
      <c r="AV1222" s="1"/>
      <c r="AW1222" s="1"/>
      <c r="AX1222" s="1"/>
      <c r="AY1222" s="1"/>
      <c r="AZ1222" s="1"/>
      <c r="BA1222" s="1"/>
      <c r="BB1222" s="1"/>
      <c r="BC1222" s="1"/>
      <c r="BD1222" s="1"/>
      <c r="BE1222" s="1"/>
      <c r="BF1222" s="1"/>
      <c r="BG1222" s="1"/>
      <c r="BH1222" s="1"/>
      <c r="BI1222" s="1"/>
      <c r="BJ1222" s="1"/>
      <c r="BK1222" s="1"/>
      <c r="BL1222" s="1"/>
      <c r="BM1222" s="1"/>
      <c r="BN1222" s="1"/>
      <c r="BO1222" s="1"/>
      <c r="BP1222" s="1"/>
      <c r="BQ1222" s="1"/>
      <c r="BR1222" s="1"/>
      <c r="BS1222" s="1"/>
      <c r="BT1222" s="1"/>
      <c r="BU1222" s="1"/>
      <c r="BV1222" s="1"/>
      <c r="BW1222" s="1"/>
      <c r="BX1222" s="1"/>
      <c r="BY1222" s="1"/>
      <c r="BZ1222" s="1"/>
      <c r="CA1222" s="1"/>
      <c r="CB1222" s="1"/>
      <c r="CC1222" s="1"/>
      <c r="CD1222" s="1"/>
      <c r="CE1222" s="1"/>
      <c r="CF1222" s="1"/>
    </row>
    <row r="1223" spans="1:84" s="3" customFormat="1" ht="20" x14ac:dyDescent="0.2">
      <c r="A1223" s="17" t="s">
        <v>3921</v>
      </c>
      <c r="B1223" s="17" t="s">
        <v>45</v>
      </c>
      <c r="C1223" s="17">
        <v>2025</v>
      </c>
      <c r="D1223" s="17" t="str">
        <f t="array" ref="D1223">_xlfn.SWITCH(E1223,"Bagor","35.18.14","Sukomoro",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23" s="16" t="s">
        <v>188</v>
      </c>
      <c r="F1223" s="17" t="s">
        <v>2704</v>
      </c>
      <c r="G1223" s="17" t="s">
        <v>2705</v>
      </c>
      <c r="H1223" s="101" t="s">
        <v>31</v>
      </c>
      <c r="I1223" s="94">
        <v>2</v>
      </c>
      <c r="J1223" s="94">
        <v>2</v>
      </c>
      <c r="K1223" s="94">
        <f t="shared" si="36"/>
        <v>4</v>
      </c>
      <c r="L1223" s="95">
        <v>5000000</v>
      </c>
      <c r="M1223" s="17" t="s">
        <v>2706</v>
      </c>
      <c r="N1223" s="95">
        <v>250</v>
      </c>
      <c r="O1223" s="94" t="s">
        <v>35</v>
      </c>
      <c r="P1223" s="97">
        <f>N1223*60000</f>
        <v>15000000</v>
      </c>
      <c r="Q1223" s="96" t="s">
        <v>2707</v>
      </c>
      <c r="R1223" s="98">
        <v>400</v>
      </c>
      <c r="S1223" s="94" t="s">
        <v>422</v>
      </c>
      <c r="T1223" s="97">
        <f>R1223*25000</f>
        <v>10000000</v>
      </c>
      <c r="U1223" s="94" t="s">
        <v>22</v>
      </c>
      <c r="V1223" s="94"/>
      <c r="W1223" s="94"/>
      <c r="X1223" s="94"/>
      <c r="Y1223" s="94">
        <v>80</v>
      </c>
      <c r="Z1223" s="94">
        <v>20</v>
      </c>
      <c r="AA1223" s="94">
        <v>0</v>
      </c>
      <c r="AB1223" s="94">
        <v>0</v>
      </c>
      <c r="AC1223" s="94"/>
      <c r="AE1223" s="1"/>
      <c r="AF1223" s="2"/>
      <c r="AG1223" s="1"/>
      <c r="AH1223" s="1"/>
      <c r="AI1223" s="1"/>
      <c r="AJ1223" s="1"/>
      <c r="AK1223" s="1"/>
      <c r="AL1223" s="1"/>
      <c r="AM1223" s="1"/>
      <c r="AN1223" s="1"/>
      <c r="AO1223" s="1"/>
      <c r="AP1223" s="1"/>
      <c r="AQ1223" s="1"/>
      <c r="AR1223" s="1"/>
      <c r="AS1223" s="1"/>
      <c r="AT1223" s="1"/>
      <c r="AU1223" s="1"/>
      <c r="AV1223" s="1"/>
      <c r="AW1223" s="1"/>
      <c r="AX1223" s="1"/>
      <c r="AY1223" s="1"/>
      <c r="AZ1223" s="1"/>
      <c r="BA1223" s="1"/>
      <c r="BB1223" s="1"/>
      <c r="BC1223" s="1"/>
      <c r="BD1223" s="1"/>
      <c r="BE1223" s="1"/>
      <c r="BF1223" s="1"/>
      <c r="BG1223" s="1"/>
      <c r="BH1223" s="1"/>
      <c r="BI1223" s="1"/>
      <c r="BJ1223" s="1"/>
      <c r="BK1223" s="1"/>
      <c r="BL1223" s="1"/>
      <c r="BM1223" s="1"/>
      <c r="BN1223" s="1"/>
      <c r="BO1223" s="1"/>
      <c r="BP1223" s="1"/>
      <c r="BQ1223" s="1"/>
      <c r="BR1223" s="1"/>
      <c r="BS1223" s="1"/>
      <c r="BT1223" s="1"/>
      <c r="BU1223" s="1"/>
      <c r="BV1223" s="1"/>
      <c r="BW1223" s="1"/>
      <c r="BX1223" s="1"/>
      <c r="BY1223" s="1"/>
      <c r="BZ1223" s="1"/>
      <c r="CA1223" s="1"/>
      <c r="CB1223" s="1"/>
      <c r="CC1223" s="1"/>
      <c r="CD1223" s="1"/>
      <c r="CE1223" s="1"/>
      <c r="CF1223" s="1"/>
    </row>
    <row r="1224" spans="1:84" s="3" customFormat="1" x14ac:dyDescent="0.2">
      <c r="A1224" s="17" t="s">
        <v>3921</v>
      </c>
      <c r="B1224" s="17" t="s">
        <v>45</v>
      </c>
      <c r="C1224" s="17">
        <v>2025</v>
      </c>
      <c r="D1224" s="17" t="str">
        <f t="array" ref="D1224">_xlfn.SWITCH(E1224,"Bagor","35.18.14","Sukomoro",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24" s="16" t="s">
        <v>45</v>
      </c>
      <c r="F1224" s="17" t="s">
        <v>2708</v>
      </c>
      <c r="G1224" s="17" t="s">
        <v>2709</v>
      </c>
      <c r="H1224" s="101" t="s">
        <v>31</v>
      </c>
      <c r="I1224" s="94">
        <v>3</v>
      </c>
      <c r="J1224" s="94">
        <v>1</v>
      </c>
      <c r="K1224" s="94">
        <f t="shared" si="36"/>
        <v>4</v>
      </c>
      <c r="L1224" s="95">
        <v>2500000</v>
      </c>
      <c r="M1224" s="17" t="s">
        <v>2698</v>
      </c>
      <c r="N1224" s="95">
        <v>5000</v>
      </c>
      <c r="O1224" s="94" t="s">
        <v>49</v>
      </c>
      <c r="P1224" s="97">
        <f>N1224*2500</f>
        <v>12500000</v>
      </c>
      <c r="Q1224" s="96" t="s">
        <v>159</v>
      </c>
      <c r="R1224" s="98">
        <v>100</v>
      </c>
      <c r="S1224" s="94" t="s">
        <v>422</v>
      </c>
      <c r="T1224" s="97">
        <f>R1224*15000</f>
        <v>1500000</v>
      </c>
      <c r="U1224" s="94" t="s">
        <v>22</v>
      </c>
      <c r="V1224" s="94"/>
      <c r="W1224" s="94"/>
      <c r="X1224" s="94"/>
      <c r="Y1224" s="94">
        <v>100</v>
      </c>
      <c r="Z1224" s="94">
        <v>0</v>
      </c>
      <c r="AA1224" s="94">
        <v>0</v>
      </c>
      <c r="AB1224" s="94">
        <v>0</v>
      </c>
      <c r="AC1224" s="94"/>
      <c r="AE1224" s="1"/>
      <c r="AF1224" s="2"/>
      <c r="AG1224" s="1"/>
      <c r="AH1224" s="1"/>
      <c r="AI1224" s="1"/>
      <c r="AJ1224" s="1"/>
      <c r="AK1224" s="1"/>
      <c r="AL1224" s="1"/>
      <c r="AM1224" s="1"/>
      <c r="AN1224" s="1"/>
      <c r="AO1224" s="1"/>
      <c r="AP1224" s="1"/>
      <c r="AQ1224" s="1"/>
      <c r="AR1224" s="1"/>
      <c r="AS1224" s="1"/>
      <c r="AT1224" s="1"/>
      <c r="AU1224" s="1"/>
      <c r="AV1224" s="1"/>
      <c r="AW1224" s="1"/>
      <c r="AX1224" s="1"/>
      <c r="AY1224" s="1"/>
      <c r="AZ1224" s="1"/>
      <c r="BA1224" s="1"/>
      <c r="BB1224" s="1"/>
      <c r="BC1224" s="1"/>
      <c r="BD1224" s="1"/>
      <c r="BE1224" s="1"/>
      <c r="BF1224" s="1"/>
      <c r="BG1224" s="1"/>
      <c r="BH1224" s="1"/>
      <c r="BI1224" s="1"/>
      <c r="BJ1224" s="1"/>
      <c r="BK1224" s="1"/>
      <c r="BL1224" s="1"/>
      <c r="BM1224" s="1"/>
      <c r="BN1224" s="1"/>
      <c r="BO1224" s="1"/>
      <c r="BP1224" s="1"/>
      <c r="BQ1224" s="1"/>
      <c r="BR1224" s="1"/>
      <c r="BS1224" s="1"/>
      <c r="BT1224" s="1"/>
      <c r="BU1224" s="1"/>
      <c r="BV1224" s="1"/>
      <c r="BW1224" s="1"/>
      <c r="BX1224" s="1"/>
      <c r="BY1224" s="1"/>
      <c r="BZ1224" s="1"/>
      <c r="CA1224" s="1"/>
      <c r="CB1224" s="1"/>
      <c r="CC1224" s="1"/>
      <c r="CD1224" s="1"/>
      <c r="CE1224" s="1"/>
      <c r="CF1224" s="1"/>
    </row>
    <row r="1225" spans="1:84" s="3" customFormat="1" ht="20" x14ac:dyDescent="0.2">
      <c r="A1225" s="17" t="s">
        <v>3921</v>
      </c>
      <c r="B1225" s="17" t="s">
        <v>45</v>
      </c>
      <c r="C1225" s="17">
        <v>2025</v>
      </c>
      <c r="D1225" s="17" t="str">
        <f t="array" ref="D1225">_xlfn.SWITCH(E1225,"Bagor","35.18.14","Sukomoro",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25" s="16" t="s">
        <v>162</v>
      </c>
      <c r="F1225" s="17" t="s">
        <v>2710</v>
      </c>
      <c r="G1225" s="17" t="s">
        <v>2711</v>
      </c>
      <c r="H1225" s="101" t="s">
        <v>31</v>
      </c>
      <c r="I1225" s="94">
        <v>1</v>
      </c>
      <c r="J1225" s="94">
        <v>2</v>
      </c>
      <c r="K1225" s="94">
        <f t="shared" si="36"/>
        <v>3</v>
      </c>
      <c r="L1225" s="95">
        <v>2000000</v>
      </c>
      <c r="M1225" s="17" t="s">
        <v>2698</v>
      </c>
      <c r="N1225" s="95">
        <v>5000</v>
      </c>
      <c r="O1225" s="94" t="s">
        <v>49</v>
      </c>
      <c r="P1225" s="97">
        <f>N1225*2500</f>
        <v>12500000</v>
      </c>
      <c r="Q1225" s="96" t="s">
        <v>159</v>
      </c>
      <c r="R1225" s="98">
        <v>100</v>
      </c>
      <c r="S1225" s="94" t="s">
        <v>422</v>
      </c>
      <c r="T1225" s="97">
        <f>R1225*15000</f>
        <v>1500000</v>
      </c>
      <c r="U1225" s="94" t="s">
        <v>22</v>
      </c>
      <c r="V1225" s="94"/>
      <c r="W1225" s="94"/>
      <c r="X1225" s="94"/>
      <c r="Y1225" s="94">
        <v>100</v>
      </c>
      <c r="Z1225" s="94">
        <v>0</v>
      </c>
      <c r="AA1225" s="94">
        <v>0</v>
      </c>
      <c r="AB1225" s="94">
        <v>0</v>
      </c>
      <c r="AC1225" s="94"/>
      <c r="AE1225" s="1"/>
      <c r="AF1225" s="2"/>
      <c r="AG1225" s="1"/>
      <c r="AH1225" s="1"/>
      <c r="AI1225" s="1"/>
      <c r="AJ1225" s="1"/>
      <c r="AK1225" s="1"/>
      <c r="AL1225" s="1"/>
      <c r="AM1225" s="1"/>
      <c r="AN1225" s="1"/>
      <c r="AO1225" s="1"/>
      <c r="AP1225" s="1"/>
      <c r="AQ1225" s="1"/>
      <c r="AR1225" s="1"/>
      <c r="AS1225" s="1"/>
      <c r="AT1225" s="1"/>
      <c r="AU1225" s="1"/>
      <c r="AV1225" s="1"/>
      <c r="AW1225" s="1"/>
      <c r="AX1225" s="1"/>
      <c r="AY1225" s="1"/>
      <c r="AZ1225" s="1"/>
      <c r="BA1225" s="1"/>
      <c r="BB1225" s="1"/>
      <c r="BC1225" s="1"/>
      <c r="BD1225" s="1"/>
      <c r="BE1225" s="1"/>
      <c r="BF1225" s="1"/>
      <c r="BG1225" s="1"/>
      <c r="BH1225" s="1"/>
      <c r="BI1225" s="1"/>
      <c r="BJ1225" s="1"/>
      <c r="BK1225" s="1"/>
      <c r="BL1225" s="1"/>
      <c r="BM1225" s="1"/>
      <c r="BN1225" s="1"/>
      <c r="BO1225" s="1"/>
      <c r="BP1225" s="1"/>
      <c r="BQ1225" s="1"/>
      <c r="BR1225" s="1"/>
      <c r="BS1225" s="1"/>
      <c r="BT1225" s="1"/>
      <c r="BU1225" s="1"/>
      <c r="BV1225" s="1"/>
      <c r="BW1225" s="1"/>
      <c r="BX1225" s="1"/>
      <c r="BY1225" s="1"/>
      <c r="BZ1225" s="1"/>
      <c r="CA1225" s="1"/>
      <c r="CB1225" s="1"/>
      <c r="CC1225" s="1"/>
      <c r="CD1225" s="1"/>
      <c r="CE1225" s="1"/>
      <c r="CF1225" s="1"/>
    </row>
    <row r="1226" spans="1:84" s="3" customFormat="1" ht="20" x14ac:dyDescent="0.2">
      <c r="A1226" s="17" t="s">
        <v>3921</v>
      </c>
      <c r="B1226" s="17" t="s">
        <v>45</v>
      </c>
      <c r="C1226" s="17">
        <v>2025</v>
      </c>
      <c r="D1226" s="17" t="str">
        <f t="array" ref="D1226">_xlfn.SWITCH(E1226,"Jatikalen","35.18.20","Kertosono", "35.18.08","Lengkong","35.18.19","Loceret","35.18.04","Tanjunganom","35.18.11","Wilangan","35.18.15")</f>
        <v>35.18.04</v>
      </c>
      <c r="E1226" s="16" t="s">
        <v>41</v>
      </c>
      <c r="F1226" s="17" t="s">
        <v>2712</v>
      </c>
      <c r="G1226" s="17" t="s">
        <v>2713</v>
      </c>
      <c r="H1226" s="101" t="s">
        <v>31</v>
      </c>
      <c r="I1226" s="94">
        <v>3</v>
      </c>
      <c r="J1226" s="94">
        <v>1</v>
      </c>
      <c r="K1226" s="94">
        <f t="shared" si="36"/>
        <v>4</v>
      </c>
      <c r="L1226" s="95">
        <v>5000000</v>
      </c>
      <c r="M1226" s="17" t="s">
        <v>1478</v>
      </c>
      <c r="N1226" s="18">
        <f>10*25*12</f>
        <v>3000</v>
      </c>
      <c r="O1226" s="16" t="s">
        <v>422</v>
      </c>
      <c r="P1226" s="30">
        <v>45000000</v>
      </c>
      <c r="Q1226" s="17" t="s">
        <v>2508</v>
      </c>
      <c r="R1226" s="18">
        <f>15*12*30</f>
        <v>5400</v>
      </c>
      <c r="S1226" s="16" t="s">
        <v>422</v>
      </c>
      <c r="T1226" s="53">
        <f>P1226/2</f>
        <v>22500000</v>
      </c>
      <c r="U1226" s="90" t="s">
        <v>22</v>
      </c>
      <c r="V1226" s="81">
        <v>0</v>
      </c>
      <c r="W1226" s="82">
        <v>0</v>
      </c>
      <c r="X1226" s="20">
        <v>0</v>
      </c>
      <c r="Y1226" s="21">
        <v>100</v>
      </c>
      <c r="Z1226" s="21">
        <v>0</v>
      </c>
      <c r="AA1226" s="21">
        <v>0</v>
      </c>
      <c r="AB1226" s="21">
        <v>0</v>
      </c>
      <c r="AC1226" s="16"/>
      <c r="AE1226" s="1"/>
      <c r="AF1226" s="2"/>
      <c r="AG1226" s="1"/>
      <c r="AH1226" s="1"/>
      <c r="AI1226" s="1"/>
      <c r="AJ1226" s="1"/>
      <c r="AK1226" s="1"/>
      <c r="AL1226" s="1"/>
      <c r="AM1226" s="1"/>
      <c r="AN1226" s="1"/>
      <c r="AO1226" s="1"/>
      <c r="AP1226" s="1"/>
      <c r="AQ1226" s="1"/>
      <c r="AR1226" s="1"/>
      <c r="AS1226" s="1"/>
      <c r="AT1226" s="1"/>
      <c r="AU1226" s="1"/>
      <c r="AV1226" s="1"/>
      <c r="AW1226" s="1"/>
      <c r="AX1226" s="1"/>
      <c r="AY1226" s="1"/>
      <c r="AZ1226" s="1"/>
      <c r="BA1226" s="1"/>
      <c r="BB1226" s="1"/>
      <c r="BC1226" s="1"/>
      <c r="BD1226" s="1"/>
      <c r="BE1226" s="1"/>
      <c r="BF1226" s="1"/>
      <c r="BG1226" s="1"/>
      <c r="BH1226" s="1"/>
      <c r="BI1226" s="1"/>
      <c r="BJ1226" s="1"/>
      <c r="BK1226" s="1"/>
      <c r="BL1226" s="1"/>
      <c r="BM1226" s="1"/>
      <c r="BN1226" s="1"/>
      <c r="BO1226" s="1"/>
      <c r="BP1226" s="1"/>
      <c r="BQ1226" s="1"/>
      <c r="BR1226" s="1"/>
      <c r="BS1226" s="1"/>
      <c r="BT1226" s="1"/>
      <c r="BU1226" s="1"/>
      <c r="BV1226" s="1"/>
      <c r="BW1226" s="1"/>
      <c r="BX1226" s="1"/>
      <c r="BY1226" s="1"/>
      <c r="BZ1226" s="1"/>
      <c r="CA1226" s="1"/>
      <c r="CB1226" s="1"/>
      <c r="CC1226" s="1"/>
      <c r="CD1226" s="1"/>
      <c r="CE1226" s="1"/>
      <c r="CF1226" s="1"/>
    </row>
    <row r="1227" spans="1:84" s="3" customFormat="1" ht="20" x14ac:dyDescent="0.2">
      <c r="A1227" s="17" t="s">
        <v>3921</v>
      </c>
      <c r="B1227" s="17" t="s">
        <v>45</v>
      </c>
      <c r="C1227" s="17">
        <v>2025</v>
      </c>
      <c r="D1227" s="17" t="str">
        <f t="array" ref="D1227">_xlfn.SWITCH(E1227,"Jatikalen","35.18.20","Kertosono", "35.18.08","Lengkong","35.18.19","Loceret","35.18.04","Tanjunganom","35.18.11","Wilangan","35.18.15")</f>
        <v>35.18.11</v>
      </c>
      <c r="E1227" s="16" t="s">
        <v>60</v>
      </c>
      <c r="F1227" s="17" t="s">
        <v>2714</v>
      </c>
      <c r="G1227" s="17" t="s">
        <v>2715</v>
      </c>
      <c r="H1227" s="101" t="s">
        <v>31</v>
      </c>
      <c r="I1227" s="94">
        <v>1</v>
      </c>
      <c r="J1227" s="94">
        <v>1</v>
      </c>
      <c r="K1227" s="94">
        <f t="shared" si="36"/>
        <v>2</v>
      </c>
      <c r="L1227" s="95">
        <v>3000000</v>
      </c>
      <c r="M1227" s="17" t="s">
        <v>2698</v>
      </c>
      <c r="N1227" s="95">
        <v>15000</v>
      </c>
      <c r="O1227" s="94" t="s">
        <v>422</v>
      </c>
      <c r="P1227" s="97">
        <v>75000000</v>
      </c>
      <c r="Q1227" s="96" t="s">
        <v>2434</v>
      </c>
      <c r="R1227" s="95">
        <v>30000</v>
      </c>
      <c r="S1227" s="94" t="s">
        <v>422</v>
      </c>
      <c r="T1227" s="97">
        <f>P1227/2</f>
        <v>37500000</v>
      </c>
      <c r="U1227" s="94" t="s">
        <v>22</v>
      </c>
      <c r="V1227" s="94"/>
      <c r="W1227" s="94"/>
      <c r="X1227" s="94"/>
      <c r="Y1227" s="94">
        <v>70</v>
      </c>
      <c r="Z1227" s="94">
        <v>30</v>
      </c>
      <c r="AA1227" s="94">
        <v>0</v>
      </c>
      <c r="AB1227" s="94">
        <v>0</v>
      </c>
      <c r="AC1227" s="94"/>
      <c r="AE1227" s="1"/>
      <c r="AF1227" s="2"/>
      <c r="AG1227" s="1"/>
      <c r="AH1227" s="1"/>
      <c r="AI1227" s="1"/>
      <c r="AJ1227" s="1"/>
      <c r="AK1227" s="1"/>
      <c r="AL1227" s="1"/>
      <c r="AM1227" s="1"/>
      <c r="AN1227" s="1"/>
      <c r="AO1227" s="1"/>
      <c r="AP1227" s="1"/>
      <c r="AQ1227" s="1"/>
      <c r="AR1227" s="1"/>
      <c r="AS1227" s="1"/>
      <c r="AT1227" s="1"/>
      <c r="AU1227" s="1"/>
      <c r="AV1227" s="1"/>
      <c r="AW1227" s="1"/>
      <c r="AX1227" s="1"/>
      <c r="AY1227" s="1"/>
      <c r="AZ1227" s="1"/>
      <c r="BA1227" s="1"/>
      <c r="BB1227" s="1"/>
      <c r="BC1227" s="1"/>
      <c r="BD1227" s="1"/>
      <c r="BE1227" s="1"/>
      <c r="BF1227" s="1"/>
      <c r="BG1227" s="1"/>
      <c r="BH1227" s="1"/>
      <c r="BI1227" s="1"/>
      <c r="BJ1227" s="1"/>
      <c r="BK1227" s="1"/>
      <c r="BL1227" s="1"/>
      <c r="BM1227" s="1"/>
      <c r="BN1227" s="1"/>
      <c r="BO1227" s="1"/>
      <c r="BP1227" s="1"/>
      <c r="BQ1227" s="1"/>
      <c r="BR1227" s="1"/>
      <c r="BS1227" s="1"/>
      <c r="BT1227" s="1"/>
      <c r="BU1227" s="1"/>
      <c r="BV1227" s="1"/>
      <c r="BW1227" s="1"/>
      <c r="BX1227" s="1"/>
      <c r="BY1227" s="1"/>
      <c r="BZ1227" s="1"/>
      <c r="CA1227" s="1"/>
      <c r="CB1227" s="1"/>
      <c r="CC1227" s="1"/>
      <c r="CD1227" s="1"/>
      <c r="CE1227" s="1"/>
      <c r="CF1227" s="1"/>
    </row>
    <row r="1228" spans="1:84" s="3" customFormat="1" ht="20" x14ac:dyDescent="0.2">
      <c r="A1228" s="17" t="s">
        <v>3921</v>
      </c>
      <c r="B1228" s="17" t="s">
        <v>45</v>
      </c>
      <c r="C1228" s="17">
        <v>2025</v>
      </c>
      <c r="D1228" s="17" t="str">
        <f t="array" ref="D1228">_xlfn.SWITCH(E1228,"Bagor","35.18.14","Sukomoro",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28" s="16" t="s">
        <v>162</v>
      </c>
      <c r="F1228" s="17" t="s">
        <v>2716</v>
      </c>
      <c r="G1228" s="17" t="s">
        <v>2717</v>
      </c>
      <c r="H1228" s="101" t="s">
        <v>31</v>
      </c>
      <c r="I1228" s="94">
        <v>2</v>
      </c>
      <c r="J1228" s="94">
        <v>1</v>
      </c>
      <c r="K1228" s="94">
        <f t="shared" si="36"/>
        <v>3</v>
      </c>
      <c r="L1228" s="95">
        <v>6000000</v>
      </c>
      <c r="M1228" s="17" t="s">
        <v>2718</v>
      </c>
      <c r="N1228" s="67">
        <v>10080</v>
      </c>
      <c r="O1228" s="16" t="s">
        <v>422</v>
      </c>
      <c r="P1228" s="70">
        <v>40320000</v>
      </c>
      <c r="Q1228" s="33" t="s">
        <v>1642</v>
      </c>
      <c r="R1228" s="78">
        <v>10080</v>
      </c>
      <c r="S1228" s="16" t="s">
        <v>422</v>
      </c>
      <c r="T1228" s="67">
        <v>8366400</v>
      </c>
      <c r="U1228" s="16" t="s">
        <v>22</v>
      </c>
      <c r="V1228" s="16"/>
      <c r="W1228" s="16"/>
      <c r="X1228" s="16"/>
      <c r="Y1228" s="16">
        <v>80</v>
      </c>
      <c r="Z1228" s="16">
        <v>20</v>
      </c>
      <c r="AA1228" s="16">
        <v>0</v>
      </c>
      <c r="AB1228" s="16">
        <v>0</v>
      </c>
      <c r="AC1228" s="16"/>
      <c r="AE1228" s="1"/>
      <c r="AF1228" s="2"/>
      <c r="AG1228" s="1"/>
      <c r="AH1228" s="1"/>
      <c r="AI1228" s="1"/>
      <c r="AJ1228" s="1"/>
      <c r="AK1228" s="1"/>
      <c r="AL1228" s="1"/>
      <c r="AM1228" s="1"/>
      <c r="AN1228" s="1"/>
      <c r="AO1228" s="1"/>
      <c r="AP1228" s="1"/>
      <c r="AQ1228" s="1"/>
      <c r="AR1228" s="1"/>
      <c r="AS1228" s="1"/>
      <c r="AT1228" s="1"/>
      <c r="AU1228" s="1"/>
      <c r="AV1228" s="1"/>
      <c r="AW1228" s="1"/>
      <c r="AX1228" s="1"/>
      <c r="AY1228" s="1"/>
      <c r="AZ1228" s="1"/>
      <c r="BA1228" s="1"/>
      <c r="BB1228" s="1"/>
      <c r="BC1228" s="1"/>
      <c r="BD1228" s="1"/>
      <c r="BE1228" s="1"/>
      <c r="BF1228" s="1"/>
      <c r="BG1228" s="1"/>
      <c r="BH1228" s="1"/>
      <c r="BI1228" s="1"/>
      <c r="BJ1228" s="1"/>
      <c r="BK1228" s="1"/>
      <c r="BL1228" s="1"/>
      <c r="BM1228" s="1"/>
      <c r="BN1228" s="1"/>
      <c r="BO1228" s="1"/>
      <c r="BP1228" s="1"/>
      <c r="BQ1228" s="1"/>
      <c r="BR1228" s="1"/>
      <c r="BS1228" s="1"/>
      <c r="BT1228" s="1"/>
      <c r="BU1228" s="1"/>
      <c r="BV1228" s="1"/>
      <c r="BW1228" s="1"/>
      <c r="BX1228" s="1"/>
      <c r="BY1228" s="1"/>
      <c r="BZ1228" s="1"/>
      <c r="CA1228" s="1"/>
      <c r="CB1228" s="1"/>
      <c r="CC1228" s="1"/>
      <c r="CD1228" s="1"/>
      <c r="CE1228" s="1"/>
      <c r="CF1228" s="1"/>
    </row>
    <row r="1229" spans="1:84" s="3" customFormat="1" ht="20" x14ac:dyDescent="0.2">
      <c r="A1229" s="17" t="s">
        <v>3921</v>
      </c>
      <c r="B1229" s="17" t="s">
        <v>45</v>
      </c>
      <c r="C1229" s="17">
        <v>2025</v>
      </c>
      <c r="D1229" s="17" t="str">
        <f t="array" ref="D1229">_xlfn.SWITCH(E1229,"Bagor","35.18.14","Sukomoro",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29" s="16" t="s">
        <v>162</v>
      </c>
      <c r="F1229" s="17" t="s">
        <v>2719</v>
      </c>
      <c r="G1229" s="17" t="s">
        <v>2720</v>
      </c>
      <c r="H1229" s="101" t="s">
        <v>31</v>
      </c>
      <c r="I1229" s="94">
        <v>2</v>
      </c>
      <c r="J1229" s="94">
        <v>1</v>
      </c>
      <c r="K1229" s="94">
        <f t="shared" si="36"/>
        <v>3</v>
      </c>
      <c r="L1229" s="95">
        <v>6000000</v>
      </c>
      <c r="M1229" s="17" t="s">
        <v>2718</v>
      </c>
      <c r="N1229" s="67">
        <v>10080</v>
      </c>
      <c r="O1229" s="16" t="s">
        <v>422</v>
      </c>
      <c r="P1229" s="70">
        <v>40320001</v>
      </c>
      <c r="Q1229" s="33" t="s">
        <v>1642</v>
      </c>
      <c r="R1229" s="78">
        <v>10080</v>
      </c>
      <c r="S1229" s="16" t="s">
        <v>422</v>
      </c>
      <c r="T1229" s="67">
        <v>8366401</v>
      </c>
      <c r="U1229" s="16" t="s">
        <v>22</v>
      </c>
      <c r="V1229" s="16"/>
      <c r="W1229" s="16"/>
      <c r="X1229" s="16"/>
      <c r="Y1229" s="16">
        <v>80</v>
      </c>
      <c r="Z1229" s="16">
        <v>20</v>
      </c>
      <c r="AA1229" s="16">
        <v>0</v>
      </c>
      <c r="AB1229" s="16">
        <v>0</v>
      </c>
      <c r="AC1229" s="16"/>
      <c r="AE1229" s="1"/>
      <c r="AF1229" s="2"/>
      <c r="AG1229" s="1"/>
      <c r="AH1229" s="1"/>
      <c r="AI1229" s="1"/>
      <c r="AJ1229" s="1"/>
      <c r="AK1229" s="1"/>
      <c r="AL1229" s="1"/>
      <c r="AM1229" s="1"/>
      <c r="AN1229" s="1"/>
      <c r="AO1229" s="1"/>
      <c r="AP1229" s="1"/>
      <c r="AQ1229" s="1"/>
      <c r="AR1229" s="1"/>
      <c r="AS1229" s="1"/>
      <c r="AT1229" s="1"/>
      <c r="AU1229" s="1"/>
      <c r="AV1229" s="1"/>
      <c r="AW1229" s="1"/>
      <c r="AX1229" s="1"/>
      <c r="AY1229" s="1"/>
      <c r="AZ1229" s="1"/>
      <c r="BA1229" s="1"/>
      <c r="BB1229" s="1"/>
      <c r="BC1229" s="1"/>
      <c r="BD1229" s="1"/>
      <c r="BE1229" s="1"/>
      <c r="BF1229" s="1"/>
      <c r="BG1229" s="1"/>
      <c r="BH1229" s="1"/>
      <c r="BI1229" s="1"/>
      <c r="BJ1229" s="1"/>
      <c r="BK1229" s="1"/>
      <c r="BL1229" s="1"/>
      <c r="BM1229" s="1"/>
      <c r="BN1229" s="1"/>
      <c r="BO1229" s="1"/>
      <c r="BP1229" s="1"/>
      <c r="BQ1229" s="1"/>
      <c r="BR1229" s="1"/>
      <c r="BS1229" s="1"/>
      <c r="BT1229" s="1"/>
      <c r="BU1229" s="1"/>
      <c r="BV1229" s="1"/>
      <c r="BW1229" s="1"/>
      <c r="BX1229" s="1"/>
      <c r="BY1229" s="1"/>
      <c r="BZ1229" s="1"/>
      <c r="CA1229" s="1"/>
      <c r="CB1229" s="1"/>
      <c r="CC1229" s="1"/>
      <c r="CD1229" s="1"/>
      <c r="CE1229" s="1"/>
      <c r="CF1229" s="1"/>
    </row>
    <row r="1230" spans="1:84" s="3" customFormat="1" ht="20" x14ac:dyDescent="0.2">
      <c r="A1230" s="17" t="s">
        <v>3921</v>
      </c>
      <c r="B1230" s="17" t="s">
        <v>45</v>
      </c>
      <c r="C1230" s="17">
        <v>2025</v>
      </c>
      <c r="D1230" s="17" t="str">
        <f t="array" ref="D1230">_xlfn.SWITCH(E1230,"Bagor","35.18.14","Sukomoro",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30" s="16" t="s">
        <v>162</v>
      </c>
      <c r="F1230" s="17" t="s">
        <v>2716</v>
      </c>
      <c r="G1230" s="17" t="s">
        <v>2721</v>
      </c>
      <c r="H1230" s="101" t="s">
        <v>31</v>
      </c>
      <c r="I1230" s="94">
        <v>2</v>
      </c>
      <c r="J1230" s="94">
        <v>3</v>
      </c>
      <c r="K1230" s="94">
        <f t="shared" si="36"/>
        <v>5</v>
      </c>
      <c r="L1230" s="95">
        <v>6000000</v>
      </c>
      <c r="M1230" s="17" t="s">
        <v>2718</v>
      </c>
      <c r="N1230" s="67">
        <v>10080</v>
      </c>
      <c r="O1230" s="16" t="s">
        <v>422</v>
      </c>
      <c r="P1230" s="70">
        <v>40320002</v>
      </c>
      <c r="Q1230" s="33" t="s">
        <v>1642</v>
      </c>
      <c r="R1230" s="78">
        <v>10080</v>
      </c>
      <c r="S1230" s="16" t="s">
        <v>422</v>
      </c>
      <c r="T1230" s="67">
        <v>8366402</v>
      </c>
      <c r="U1230" s="16" t="s">
        <v>22</v>
      </c>
      <c r="V1230" s="16"/>
      <c r="W1230" s="16"/>
      <c r="X1230" s="16"/>
      <c r="Y1230" s="16">
        <v>80</v>
      </c>
      <c r="Z1230" s="16">
        <v>20</v>
      </c>
      <c r="AA1230" s="16">
        <v>0</v>
      </c>
      <c r="AB1230" s="16">
        <v>0</v>
      </c>
      <c r="AC1230" s="16"/>
      <c r="AE1230" s="1"/>
      <c r="AF1230" s="2"/>
      <c r="AG1230" s="1"/>
      <c r="AH1230" s="1"/>
      <c r="AI1230" s="1"/>
      <c r="AJ1230" s="1"/>
      <c r="AK1230" s="1"/>
      <c r="AL1230" s="1"/>
      <c r="AM1230" s="1"/>
      <c r="AN1230" s="1"/>
      <c r="AO1230" s="1"/>
      <c r="AP1230" s="1"/>
      <c r="AQ1230" s="1"/>
      <c r="AR1230" s="1"/>
      <c r="AS1230" s="1"/>
      <c r="AT1230" s="1"/>
      <c r="AU1230" s="1"/>
      <c r="AV1230" s="1"/>
      <c r="AW1230" s="1"/>
      <c r="AX1230" s="1"/>
      <c r="AY1230" s="1"/>
      <c r="AZ1230" s="1"/>
      <c r="BA1230" s="1"/>
      <c r="BB1230" s="1"/>
      <c r="BC1230" s="1"/>
      <c r="BD1230" s="1"/>
      <c r="BE1230" s="1"/>
      <c r="BF1230" s="1"/>
      <c r="BG1230" s="1"/>
      <c r="BH1230" s="1"/>
      <c r="BI1230" s="1"/>
      <c r="BJ1230" s="1"/>
      <c r="BK1230" s="1"/>
      <c r="BL1230" s="1"/>
      <c r="BM1230" s="1"/>
      <c r="BN1230" s="1"/>
      <c r="BO1230" s="1"/>
      <c r="BP1230" s="1"/>
      <c r="BQ1230" s="1"/>
      <c r="BR1230" s="1"/>
      <c r="BS1230" s="1"/>
      <c r="BT1230" s="1"/>
      <c r="BU1230" s="1"/>
      <c r="BV1230" s="1"/>
      <c r="BW1230" s="1"/>
      <c r="BX1230" s="1"/>
      <c r="BY1230" s="1"/>
      <c r="BZ1230" s="1"/>
      <c r="CA1230" s="1"/>
      <c r="CB1230" s="1"/>
      <c r="CC1230" s="1"/>
      <c r="CD1230" s="1"/>
      <c r="CE1230" s="1"/>
      <c r="CF1230" s="1"/>
    </row>
    <row r="1231" spans="1:84" s="3" customFormat="1" ht="20" x14ac:dyDescent="0.2">
      <c r="A1231" s="17" t="s">
        <v>3921</v>
      </c>
      <c r="B1231" s="17" t="s">
        <v>45</v>
      </c>
      <c r="C1231" s="17">
        <v>2025</v>
      </c>
      <c r="D1231" s="17" t="str">
        <f t="array" ref="D1231">_xlfn.SWITCH(E1231,"Bagor","35.18.14","Sukomoro",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31" s="16" t="s">
        <v>162</v>
      </c>
      <c r="F1231" s="17" t="s">
        <v>2722</v>
      </c>
      <c r="G1231" s="17" t="s">
        <v>2723</v>
      </c>
      <c r="H1231" s="101" t="s">
        <v>31</v>
      </c>
      <c r="I1231" s="94">
        <v>1</v>
      </c>
      <c r="J1231" s="94">
        <v>1</v>
      </c>
      <c r="K1231" s="94">
        <f t="shared" si="36"/>
        <v>2</v>
      </c>
      <c r="L1231" s="95">
        <v>6000000</v>
      </c>
      <c r="M1231" s="17" t="s">
        <v>2718</v>
      </c>
      <c r="N1231" s="67">
        <v>10080</v>
      </c>
      <c r="O1231" s="16" t="s">
        <v>422</v>
      </c>
      <c r="P1231" s="70">
        <v>40320003</v>
      </c>
      <c r="Q1231" s="33" t="s">
        <v>1642</v>
      </c>
      <c r="R1231" s="78">
        <v>10080</v>
      </c>
      <c r="S1231" s="16" t="s">
        <v>422</v>
      </c>
      <c r="T1231" s="67">
        <v>8366403</v>
      </c>
      <c r="U1231" s="16" t="s">
        <v>22</v>
      </c>
      <c r="V1231" s="16"/>
      <c r="W1231" s="16"/>
      <c r="X1231" s="16"/>
      <c r="Y1231" s="16">
        <v>80</v>
      </c>
      <c r="Z1231" s="16">
        <v>20</v>
      </c>
      <c r="AA1231" s="16">
        <v>0</v>
      </c>
      <c r="AB1231" s="16">
        <v>0</v>
      </c>
      <c r="AC1231" s="16"/>
      <c r="AE1231" s="1"/>
      <c r="AF1231" s="2"/>
      <c r="AG1231" s="1"/>
      <c r="AH1231" s="1"/>
      <c r="AI1231" s="1"/>
      <c r="AJ1231" s="1"/>
      <c r="AK1231" s="1"/>
      <c r="AL1231" s="1"/>
      <c r="AM1231" s="1"/>
      <c r="AN1231" s="1"/>
      <c r="AO1231" s="1"/>
      <c r="AP1231" s="1"/>
      <c r="AQ1231" s="1"/>
      <c r="AR1231" s="1"/>
      <c r="AS1231" s="1"/>
      <c r="AT1231" s="1"/>
      <c r="AU1231" s="1"/>
      <c r="AV1231" s="1"/>
      <c r="AW1231" s="1"/>
      <c r="AX1231" s="1"/>
      <c r="AY1231" s="1"/>
      <c r="AZ1231" s="1"/>
      <c r="BA1231" s="1"/>
      <c r="BB1231" s="1"/>
      <c r="BC1231" s="1"/>
      <c r="BD1231" s="1"/>
      <c r="BE1231" s="1"/>
      <c r="BF1231" s="1"/>
      <c r="BG1231" s="1"/>
      <c r="BH1231" s="1"/>
      <c r="BI1231" s="1"/>
      <c r="BJ1231" s="1"/>
      <c r="BK1231" s="1"/>
      <c r="BL1231" s="1"/>
      <c r="BM1231" s="1"/>
      <c r="BN1231" s="1"/>
      <c r="BO1231" s="1"/>
      <c r="BP1231" s="1"/>
      <c r="BQ1231" s="1"/>
      <c r="BR1231" s="1"/>
      <c r="BS1231" s="1"/>
      <c r="BT1231" s="1"/>
      <c r="BU1231" s="1"/>
      <c r="BV1231" s="1"/>
      <c r="BW1231" s="1"/>
      <c r="BX1231" s="1"/>
      <c r="BY1231" s="1"/>
      <c r="BZ1231" s="1"/>
      <c r="CA1231" s="1"/>
      <c r="CB1231" s="1"/>
      <c r="CC1231" s="1"/>
      <c r="CD1231" s="1"/>
      <c r="CE1231" s="1"/>
      <c r="CF1231" s="1"/>
    </row>
    <row r="1232" spans="1:84" s="3" customFormat="1" ht="20" x14ac:dyDescent="0.2">
      <c r="A1232" s="17" t="s">
        <v>3921</v>
      </c>
      <c r="B1232" s="17" t="s">
        <v>45</v>
      </c>
      <c r="C1232" s="17">
        <v>2025</v>
      </c>
      <c r="D1232" s="17" t="str">
        <f t="array" ref="D1232">_xlfn.SWITCH(E1232,"Bagor","35.18.14","Sukomoro",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32" s="16" t="s">
        <v>162</v>
      </c>
      <c r="F1232" s="17" t="s">
        <v>2724</v>
      </c>
      <c r="G1232" s="17" t="s">
        <v>2725</v>
      </c>
      <c r="H1232" s="101" t="s">
        <v>31</v>
      </c>
      <c r="I1232" s="94">
        <v>2</v>
      </c>
      <c r="J1232" s="94">
        <v>2</v>
      </c>
      <c r="K1232" s="94">
        <f t="shared" ref="K1232:K1253" si="37">SUM(I1232:J1232)</f>
        <v>4</v>
      </c>
      <c r="L1232" s="95">
        <v>6000000</v>
      </c>
      <c r="M1232" s="17" t="s">
        <v>2718</v>
      </c>
      <c r="N1232" s="67">
        <v>10080</v>
      </c>
      <c r="O1232" s="16" t="s">
        <v>422</v>
      </c>
      <c r="P1232" s="70">
        <v>40320004</v>
      </c>
      <c r="Q1232" s="33" t="s">
        <v>1642</v>
      </c>
      <c r="R1232" s="78">
        <v>10080</v>
      </c>
      <c r="S1232" s="16" t="s">
        <v>422</v>
      </c>
      <c r="T1232" s="67">
        <v>8366404</v>
      </c>
      <c r="U1232" s="16" t="s">
        <v>22</v>
      </c>
      <c r="V1232" s="16"/>
      <c r="W1232" s="16"/>
      <c r="X1232" s="16"/>
      <c r="Y1232" s="16">
        <v>80</v>
      </c>
      <c r="Z1232" s="16">
        <v>20</v>
      </c>
      <c r="AA1232" s="16">
        <v>0</v>
      </c>
      <c r="AB1232" s="16">
        <v>0</v>
      </c>
      <c r="AC1232" s="16"/>
      <c r="AE1232" s="1"/>
      <c r="AF1232" s="2"/>
      <c r="AG1232" s="1"/>
      <c r="AH1232" s="1"/>
      <c r="AI1232" s="1"/>
      <c r="AJ1232" s="1"/>
      <c r="AK1232" s="1"/>
      <c r="AL1232" s="1"/>
      <c r="AM1232" s="1"/>
      <c r="AN1232" s="1"/>
      <c r="AO1232" s="1"/>
      <c r="AP1232" s="1"/>
      <c r="AQ1232" s="1"/>
      <c r="AR1232" s="1"/>
      <c r="AS1232" s="1"/>
      <c r="AT1232" s="1"/>
      <c r="AU1232" s="1"/>
      <c r="AV1232" s="1"/>
      <c r="AW1232" s="1"/>
      <c r="AX1232" s="1"/>
      <c r="AY1232" s="1"/>
      <c r="AZ1232" s="1"/>
      <c r="BA1232" s="1"/>
      <c r="BB1232" s="1"/>
      <c r="BC1232" s="1"/>
      <c r="BD1232" s="1"/>
      <c r="BE1232" s="1"/>
      <c r="BF1232" s="1"/>
      <c r="BG1232" s="1"/>
      <c r="BH1232" s="1"/>
      <c r="BI1232" s="1"/>
      <c r="BJ1232" s="1"/>
      <c r="BK1232" s="1"/>
      <c r="BL1232" s="1"/>
      <c r="BM1232" s="1"/>
      <c r="BN1232" s="1"/>
      <c r="BO1232" s="1"/>
      <c r="BP1232" s="1"/>
      <c r="BQ1232" s="1"/>
      <c r="BR1232" s="1"/>
      <c r="BS1232" s="1"/>
      <c r="BT1232" s="1"/>
      <c r="BU1232" s="1"/>
      <c r="BV1232" s="1"/>
      <c r="BW1232" s="1"/>
      <c r="BX1232" s="1"/>
      <c r="BY1232" s="1"/>
      <c r="BZ1232" s="1"/>
      <c r="CA1232" s="1"/>
      <c r="CB1232" s="1"/>
      <c r="CC1232" s="1"/>
      <c r="CD1232" s="1"/>
      <c r="CE1232" s="1"/>
      <c r="CF1232" s="1"/>
    </row>
    <row r="1233" spans="1:84" s="3" customFormat="1" ht="20" x14ac:dyDescent="0.2">
      <c r="A1233" s="17" t="s">
        <v>3921</v>
      </c>
      <c r="B1233" s="17" t="s">
        <v>45</v>
      </c>
      <c r="C1233" s="17">
        <v>2025</v>
      </c>
      <c r="D1233" s="17" t="str">
        <f t="array" ref="D1233">_xlfn.SWITCH(E1233,"Bagor","35.18.14","Sukomoro",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33" s="16" t="s">
        <v>162</v>
      </c>
      <c r="F1233" s="17" t="s">
        <v>2724</v>
      </c>
      <c r="G1233" s="17" t="s">
        <v>2726</v>
      </c>
      <c r="H1233" s="101" t="s">
        <v>31</v>
      </c>
      <c r="I1233" s="94">
        <v>1</v>
      </c>
      <c r="J1233" s="94">
        <v>2</v>
      </c>
      <c r="K1233" s="94">
        <f t="shared" si="37"/>
        <v>3</v>
      </c>
      <c r="L1233" s="95">
        <v>6000000</v>
      </c>
      <c r="M1233" s="17" t="s">
        <v>2718</v>
      </c>
      <c r="N1233" s="67">
        <v>10080</v>
      </c>
      <c r="O1233" s="16" t="s">
        <v>422</v>
      </c>
      <c r="P1233" s="70">
        <v>40320005</v>
      </c>
      <c r="Q1233" s="33" t="s">
        <v>1642</v>
      </c>
      <c r="R1233" s="78">
        <v>10080</v>
      </c>
      <c r="S1233" s="16" t="s">
        <v>422</v>
      </c>
      <c r="T1233" s="67">
        <v>8366405</v>
      </c>
      <c r="U1233" s="16" t="s">
        <v>22</v>
      </c>
      <c r="V1233" s="16"/>
      <c r="W1233" s="16"/>
      <c r="X1233" s="16"/>
      <c r="Y1233" s="16">
        <v>80</v>
      </c>
      <c r="Z1233" s="16">
        <v>20</v>
      </c>
      <c r="AA1233" s="16">
        <v>0</v>
      </c>
      <c r="AB1233" s="16">
        <v>0</v>
      </c>
      <c r="AC1233" s="16"/>
      <c r="AE1233" s="1"/>
      <c r="AF1233" s="2"/>
      <c r="AG1233" s="1"/>
      <c r="AH1233" s="1"/>
      <c r="AI1233" s="1"/>
      <c r="AJ1233" s="1"/>
      <c r="AK1233" s="1"/>
      <c r="AL1233" s="1"/>
      <c r="AM1233" s="1"/>
      <c r="AN1233" s="1"/>
      <c r="AO1233" s="1"/>
      <c r="AP1233" s="1"/>
      <c r="AQ1233" s="1"/>
      <c r="AR1233" s="1"/>
      <c r="AS1233" s="1"/>
      <c r="AT1233" s="1"/>
      <c r="AU1233" s="1"/>
      <c r="AV1233" s="1"/>
      <c r="AW1233" s="1"/>
      <c r="AX1233" s="1"/>
      <c r="AY1233" s="1"/>
      <c r="AZ1233" s="1"/>
      <c r="BA1233" s="1"/>
      <c r="BB1233" s="1"/>
      <c r="BC1233" s="1"/>
      <c r="BD1233" s="1"/>
      <c r="BE1233" s="1"/>
      <c r="BF1233" s="1"/>
      <c r="BG1233" s="1"/>
      <c r="BH1233" s="1"/>
      <c r="BI1233" s="1"/>
      <c r="BJ1233" s="1"/>
      <c r="BK1233" s="1"/>
      <c r="BL1233" s="1"/>
      <c r="BM1233" s="1"/>
      <c r="BN1233" s="1"/>
      <c r="BO1233" s="1"/>
      <c r="BP1233" s="1"/>
      <c r="BQ1233" s="1"/>
      <c r="BR1233" s="1"/>
      <c r="BS1233" s="1"/>
      <c r="BT1233" s="1"/>
      <c r="BU1233" s="1"/>
      <c r="BV1233" s="1"/>
      <c r="BW1233" s="1"/>
      <c r="BX1233" s="1"/>
      <c r="BY1233" s="1"/>
      <c r="BZ1233" s="1"/>
      <c r="CA1233" s="1"/>
      <c r="CB1233" s="1"/>
      <c r="CC1233" s="1"/>
      <c r="CD1233" s="1"/>
      <c r="CE1233" s="1"/>
      <c r="CF1233" s="1"/>
    </row>
    <row r="1234" spans="1:84" s="3" customFormat="1" ht="20" x14ac:dyDescent="0.2">
      <c r="A1234" s="17" t="s">
        <v>3921</v>
      </c>
      <c r="B1234" s="17" t="s">
        <v>45</v>
      </c>
      <c r="C1234" s="17">
        <v>2025</v>
      </c>
      <c r="D1234" s="17" t="str">
        <f t="array" ref="D1234">_xlfn.SWITCH(E1234,"Bagor","35.18.14","Sukomoro",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34" s="16" t="s">
        <v>162</v>
      </c>
      <c r="F1234" s="17" t="s">
        <v>2727</v>
      </c>
      <c r="G1234" s="17" t="s">
        <v>2728</v>
      </c>
      <c r="H1234" s="101" t="s">
        <v>31</v>
      </c>
      <c r="I1234" s="94">
        <v>1</v>
      </c>
      <c r="J1234" s="94">
        <v>1</v>
      </c>
      <c r="K1234" s="94">
        <f t="shared" si="37"/>
        <v>2</v>
      </c>
      <c r="L1234" s="95">
        <v>6000000</v>
      </c>
      <c r="M1234" s="17" t="s">
        <v>2718</v>
      </c>
      <c r="N1234" s="67">
        <v>10080</v>
      </c>
      <c r="O1234" s="16" t="s">
        <v>422</v>
      </c>
      <c r="P1234" s="70">
        <v>40320006</v>
      </c>
      <c r="Q1234" s="33" t="s">
        <v>1642</v>
      </c>
      <c r="R1234" s="78">
        <v>10080</v>
      </c>
      <c r="S1234" s="16" t="s">
        <v>422</v>
      </c>
      <c r="T1234" s="67">
        <v>8366406</v>
      </c>
      <c r="U1234" s="16" t="s">
        <v>22</v>
      </c>
      <c r="V1234" s="16"/>
      <c r="W1234" s="16"/>
      <c r="X1234" s="16"/>
      <c r="Y1234" s="16">
        <v>80</v>
      </c>
      <c r="Z1234" s="16">
        <v>20</v>
      </c>
      <c r="AA1234" s="16">
        <v>0</v>
      </c>
      <c r="AB1234" s="16">
        <v>0</v>
      </c>
      <c r="AC1234" s="16"/>
      <c r="AE1234" s="1"/>
      <c r="AF1234" s="2"/>
      <c r="AG1234" s="1"/>
      <c r="AH1234" s="1"/>
      <c r="AI1234" s="1"/>
      <c r="AJ1234" s="1"/>
      <c r="AK1234" s="1"/>
      <c r="AL1234" s="1"/>
      <c r="AM1234" s="1"/>
      <c r="AN1234" s="1"/>
      <c r="AO1234" s="1"/>
      <c r="AP1234" s="1"/>
      <c r="AQ1234" s="1"/>
      <c r="AR1234" s="1"/>
      <c r="AS1234" s="1"/>
      <c r="AT1234" s="1"/>
      <c r="AU1234" s="1"/>
      <c r="AV1234" s="1"/>
      <c r="AW1234" s="1"/>
      <c r="AX1234" s="1"/>
      <c r="AY1234" s="1"/>
      <c r="AZ1234" s="1"/>
      <c r="BA1234" s="1"/>
      <c r="BB1234" s="1"/>
      <c r="BC1234" s="1"/>
      <c r="BD1234" s="1"/>
      <c r="BE1234" s="1"/>
      <c r="BF1234" s="1"/>
      <c r="BG1234" s="1"/>
      <c r="BH1234" s="1"/>
      <c r="BI1234" s="1"/>
      <c r="BJ1234" s="1"/>
      <c r="BK1234" s="1"/>
      <c r="BL1234" s="1"/>
      <c r="BM1234" s="1"/>
      <c r="BN1234" s="1"/>
      <c r="BO1234" s="1"/>
      <c r="BP1234" s="1"/>
      <c r="BQ1234" s="1"/>
      <c r="BR1234" s="1"/>
      <c r="BS1234" s="1"/>
      <c r="BT1234" s="1"/>
      <c r="BU1234" s="1"/>
      <c r="BV1234" s="1"/>
      <c r="BW1234" s="1"/>
      <c r="BX1234" s="1"/>
      <c r="BY1234" s="1"/>
      <c r="BZ1234" s="1"/>
      <c r="CA1234" s="1"/>
      <c r="CB1234" s="1"/>
      <c r="CC1234" s="1"/>
      <c r="CD1234" s="1"/>
      <c r="CE1234" s="1"/>
      <c r="CF1234" s="1"/>
    </row>
    <row r="1235" spans="1:84" s="3" customFormat="1" ht="20" x14ac:dyDescent="0.2">
      <c r="A1235" s="17" t="s">
        <v>3921</v>
      </c>
      <c r="B1235" s="17" t="s">
        <v>45</v>
      </c>
      <c r="C1235" s="17">
        <v>2025</v>
      </c>
      <c r="D1235" s="17" t="str">
        <f t="array" ref="D1235">_xlfn.SWITCH(E1235,"Bagor","35.18.14","Sukomoro",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35" s="16" t="s">
        <v>45</v>
      </c>
      <c r="F1235" s="17" t="s">
        <v>2729</v>
      </c>
      <c r="G1235" s="17" t="s">
        <v>2730</v>
      </c>
      <c r="H1235" s="101" t="s">
        <v>31</v>
      </c>
      <c r="I1235" s="94">
        <v>1</v>
      </c>
      <c r="J1235" s="94">
        <v>1</v>
      </c>
      <c r="K1235" s="94">
        <f t="shared" si="37"/>
        <v>2</v>
      </c>
      <c r="L1235" s="95">
        <v>2000000</v>
      </c>
      <c r="M1235" s="17" t="s">
        <v>2698</v>
      </c>
      <c r="N1235" s="95">
        <v>5000</v>
      </c>
      <c r="O1235" s="94" t="s">
        <v>49</v>
      </c>
      <c r="P1235" s="97">
        <f>N1235*2500</f>
        <v>12500000</v>
      </c>
      <c r="Q1235" s="96" t="s">
        <v>159</v>
      </c>
      <c r="R1235" s="98">
        <v>100</v>
      </c>
      <c r="S1235" s="94" t="s">
        <v>422</v>
      </c>
      <c r="T1235" s="97">
        <f>R1235*15000</f>
        <v>1500000</v>
      </c>
      <c r="U1235" s="94" t="s">
        <v>22</v>
      </c>
      <c r="V1235" s="94"/>
      <c r="W1235" s="94"/>
      <c r="X1235" s="94"/>
      <c r="Y1235" s="94">
        <v>100</v>
      </c>
      <c r="Z1235" s="94">
        <v>0</v>
      </c>
      <c r="AA1235" s="94">
        <v>0</v>
      </c>
      <c r="AB1235" s="94">
        <v>0</v>
      </c>
      <c r="AC1235" s="94"/>
      <c r="AE1235" s="1"/>
      <c r="AF1235" s="2"/>
      <c r="AG1235" s="1"/>
      <c r="AH1235" s="1"/>
      <c r="AI1235" s="1"/>
      <c r="AJ1235" s="1"/>
      <c r="AK1235" s="1"/>
      <c r="AL1235" s="1"/>
      <c r="AM1235" s="1"/>
      <c r="AN1235" s="1"/>
      <c r="AO1235" s="1"/>
      <c r="AP1235" s="1"/>
      <c r="AQ1235" s="1"/>
      <c r="AR1235" s="1"/>
      <c r="AS1235" s="1"/>
      <c r="AT1235" s="1"/>
      <c r="AU1235" s="1"/>
      <c r="AV1235" s="1"/>
      <c r="AW1235" s="1"/>
      <c r="AX1235" s="1"/>
      <c r="AY1235" s="1"/>
      <c r="AZ1235" s="1"/>
      <c r="BA1235" s="1"/>
      <c r="BB1235" s="1"/>
      <c r="BC1235" s="1"/>
      <c r="BD1235" s="1"/>
      <c r="BE1235" s="1"/>
      <c r="BF1235" s="1"/>
      <c r="BG1235" s="1"/>
      <c r="BH1235" s="1"/>
      <c r="BI1235" s="1"/>
      <c r="BJ1235" s="1"/>
      <c r="BK1235" s="1"/>
      <c r="BL1235" s="1"/>
      <c r="BM1235" s="1"/>
      <c r="BN1235" s="1"/>
      <c r="BO1235" s="1"/>
      <c r="BP1235" s="1"/>
      <c r="BQ1235" s="1"/>
      <c r="BR1235" s="1"/>
      <c r="BS1235" s="1"/>
      <c r="BT1235" s="1"/>
      <c r="BU1235" s="1"/>
      <c r="BV1235" s="1"/>
      <c r="BW1235" s="1"/>
      <c r="BX1235" s="1"/>
      <c r="BY1235" s="1"/>
      <c r="BZ1235" s="1"/>
      <c r="CA1235" s="1"/>
      <c r="CB1235" s="1"/>
      <c r="CC1235" s="1"/>
      <c r="CD1235" s="1"/>
      <c r="CE1235" s="1"/>
      <c r="CF1235" s="1"/>
    </row>
    <row r="1236" spans="1:84" s="3" customFormat="1" ht="20" x14ac:dyDescent="0.2">
      <c r="A1236" s="17" t="s">
        <v>3921</v>
      </c>
      <c r="B1236" s="17" t="s">
        <v>45</v>
      </c>
      <c r="C1236" s="17">
        <v>2025</v>
      </c>
      <c r="D1236" s="17" t="str">
        <f t="array" ref="D1236">_xlfn.SWITCH(E1236,"Bagor","35.18.14","Sukomoro",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236" s="16" t="s">
        <v>157</v>
      </c>
      <c r="F1236" s="17" t="s">
        <v>2731</v>
      </c>
      <c r="G1236" s="17" t="s">
        <v>2732</v>
      </c>
      <c r="H1236" s="101" t="s">
        <v>31</v>
      </c>
      <c r="I1236" s="94">
        <v>2</v>
      </c>
      <c r="J1236" s="94">
        <v>2</v>
      </c>
      <c r="K1236" s="94">
        <f t="shared" si="37"/>
        <v>4</v>
      </c>
      <c r="L1236" s="95">
        <v>2500000</v>
      </c>
      <c r="M1236" s="17" t="s">
        <v>2733</v>
      </c>
      <c r="N1236" s="67">
        <v>500</v>
      </c>
      <c r="O1236" s="117" t="s">
        <v>35</v>
      </c>
      <c r="P1236" s="70">
        <v>15000000</v>
      </c>
      <c r="Q1236" s="33" t="s">
        <v>1553</v>
      </c>
      <c r="R1236" s="78">
        <v>450</v>
      </c>
      <c r="S1236" s="16" t="s">
        <v>422</v>
      </c>
      <c r="T1236" s="67">
        <v>10000000</v>
      </c>
      <c r="U1236" s="16" t="s">
        <v>22</v>
      </c>
      <c r="V1236" s="16"/>
      <c r="W1236" s="16"/>
      <c r="X1236" s="16"/>
      <c r="Y1236" s="16">
        <v>30</v>
      </c>
      <c r="Z1236" s="16">
        <v>30</v>
      </c>
      <c r="AA1236" s="16">
        <v>40</v>
      </c>
      <c r="AB1236" s="16">
        <v>0</v>
      </c>
      <c r="AC1236" s="16"/>
      <c r="AE1236" s="1"/>
      <c r="AF1236" s="2"/>
      <c r="AG1236" s="1"/>
      <c r="AH1236" s="1"/>
      <c r="AI1236" s="1"/>
      <c r="AJ1236" s="1"/>
      <c r="AK1236" s="1"/>
      <c r="AL1236" s="1"/>
      <c r="AM1236" s="1"/>
      <c r="AN1236" s="1"/>
      <c r="AO1236" s="1"/>
      <c r="AP1236" s="1"/>
      <c r="AQ1236" s="1"/>
      <c r="AR1236" s="1"/>
      <c r="AS1236" s="1"/>
      <c r="AT1236" s="1"/>
      <c r="AU1236" s="1"/>
      <c r="AV1236" s="1"/>
      <c r="AW1236" s="1"/>
      <c r="AX1236" s="1"/>
      <c r="AY1236" s="1"/>
      <c r="AZ1236" s="1"/>
      <c r="BA1236" s="1"/>
      <c r="BB1236" s="1"/>
      <c r="BC1236" s="1"/>
      <c r="BD1236" s="1"/>
      <c r="BE1236" s="1"/>
      <c r="BF1236" s="1"/>
      <c r="BG1236" s="1"/>
      <c r="BH1236" s="1"/>
      <c r="BI1236" s="1"/>
      <c r="BJ1236" s="1"/>
      <c r="BK1236" s="1"/>
      <c r="BL1236" s="1"/>
      <c r="BM1236" s="1"/>
      <c r="BN1236" s="1"/>
      <c r="BO1236" s="1"/>
      <c r="BP1236" s="1"/>
      <c r="BQ1236" s="1"/>
      <c r="BR1236" s="1"/>
      <c r="BS1236" s="1"/>
      <c r="BT1236" s="1"/>
      <c r="BU1236" s="1"/>
      <c r="BV1236" s="1"/>
      <c r="BW1236" s="1"/>
      <c r="BX1236" s="1"/>
      <c r="BY1236" s="1"/>
      <c r="BZ1236" s="1"/>
      <c r="CA1236" s="1"/>
      <c r="CB1236" s="1"/>
      <c r="CC1236" s="1"/>
      <c r="CD1236" s="1"/>
      <c r="CE1236" s="1"/>
      <c r="CF1236" s="1"/>
    </row>
    <row r="1237" spans="1:84" x14ac:dyDescent="0.2">
      <c r="A1237" s="17" t="s">
        <v>3921</v>
      </c>
      <c r="B1237" s="17" t="s">
        <v>45</v>
      </c>
      <c r="C1237" s="17">
        <v>2025</v>
      </c>
      <c r="D1237" s="17" t="str">
        <f t="array" ref="D1237">_xlfn.SWITCH(E1237,"Bagor","35.18.14","Sukomoro",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37" s="16" t="s">
        <v>45</v>
      </c>
      <c r="F1237" s="17" t="s">
        <v>2734</v>
      </c>
      <c r="G1237" s="17" t="s">
        <v>2735</v>
      </c>
      <c r="H1237" s="101" t="s">
        <v>31</v>
      </c>
      <c r="I1237" s="94">
        <v>2</v>
      </c>
      <c r="J1237" s="94">
        <v>1</v>
      </c>
      <c r="K1237" s="94">
        <f t="shared" si="37"/>
        <v>3</v>
      </c>
      <c r="L1237" s="95">
        <v>3000000</v>
      </c>
      <c r="M1237" s="17" t="s">
        <v>2706</v>
      </c>
      <c r="N1237" s="95">
        <v>250</v>
      </c>
      <c r="O1237" s="94" t="s">
        <v>35</v>
      </c>
      <c r="P1237" s="97">
        <f>N1237*60000</f>
        <v>15000000</v>
      </c>
      <c r="Q1237" s="96" t="s">
        <v>2707</v>
      </c>
      <c r="R1237" s="98">
        <v>400</v>
      </c>
      <c r="S1237" s="94" t="s">
        <v>422</v>
      </c>
      <c r="T1237" s="97">
        <f>R1237*25000</f>
        <v>10000000</v>
      </c>
      <c r="U1237" s="94" t="s">
        <v>22</v>
      </c>
      <c r="V1237" s="94"/>
      <c r="W1237" s="94"/>
      <c r="X1237" s="94"/>
      <c r="Y1237" s="94">
        <v>80</v>
      </c>
      <c r="Z1237" s="94">
        <v>20</v>
      </c>
      <c r="AA1237" s="94">
        <v>0</v>
      </c>
      <c r="AB1237" s="94">
        <v>0</v>
      </c>
      <c r="AC1237" s="94"/>
    </row>
    <row r="1238" spans="1:84" x14ac:dyDescent="0.2">
      <c r="A1238" s="17" t="s">
        <v>3921</v>
      </c>
      <c r="B1238" s="17" t="s">
        <v>45</v>
      </c>
      <c r="C1238" s="17">
        <v>2025</v>
      </c>
      <c r="D1238" s="17" t="str">
        <f t="array" ref="D1238">_xlfn.SWITCH(E1238,"Bagor","35.18.14","Sukomoro",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238" s="16" t="s">
        <v>140</v>
      </c>
      <c r="F1238" s="17" t="s">
        <v>2736</v>
      </c>
      <c r="G1238" s="17" t="s">
        <v>2737</v>
      </c>
      <c r="H1238" s="101" t="s">
        <v>31</v>
      </c>
      <c r="I1238" s="94">
        <v>2</v>
      </c>
      <c r="J1238" s="94">
        <v>1</v>
      </c>
      <c r="K1238" s="94">
        <f t="shared" si="37"/>
        <v>3</v>
      </c>
      <c r="L1238" s="95">
        <v>5000000</v>
      </c>
      <c r="M1238" s="96" t="s">
        <v>2651</v>
      </c>
      <c r="N1238" s="95">
        <v>200</v>
      </c>
      <c r="O1238" s="94" t="s">
        <v>35</v>
      </c>
      <c r="P1238" s="97">
        <f>N1238*55000</f>
        <v>11000000</v>
      </c>
      <c r="Q1238" s="96" t="s">
        <v>2657</v>
      </c>
      <c r="R1238" s="98">
        <v>1000</v>
      </c>
      <c r="S1238" s="94" t="s">
        <v>422</v>
      </c>
      <c r="T1238" s="97">
        <f>R1238*4000</f>
        <v>4000000</v>
      </c>
      <c r="U1238" s="94" t="s">
        <v>22</v>
      </c>
      <c r="V1238" s="94"/>
      <c r="W1238" s="94"/>
      <c r="X1238" s="94"/>
      <c r="Y1238" s="94">
        <v>90</v>
      </c>
      <c r="Z1238" s="94">
        <v>10</v>
      </c>
      <c r="AA1238" s="94">
        <v>0</v>
      </c>
      <c r="AB1238" s="94">
        <v>0</v>
      </c>
      <c r="AC1238" s="94"/>
    </row>
    <row r="1239" spans="1:84" ht="20" x14ac:dyDescent="0.2">
      <c r="A1239" s="17" t="s">
        <v>3921</v>
      </c>
      <c r="B1239" s="17" t="s">
        <v>45</v>
      </c>
      <c r="C1239" s="17">
        <v>2025</v>
      </c>
      <c r="D1239" s="17" t="str">
        <f t="array" ref="D1239">_xlfn.SWITCH(E1239,"Bagor","35.18.14","Sukomoro",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239" s="16" t="s">
        <v>103</v>
      </c>
      <c r="F1239" s="17" t="s">
        <v>2738</v>
      </c>
      <c r="G1239" s="17" t="s">
        <v>2739</v>
      </c>
      <c r="H1239" s="101" t="s">
        <v>31</v>
      </c>
      <c r="I1239" s="94">
        <v>1</v>
      </c>
      <c r="J1239" s="94">
        <v>1</v>
      </c>
      <c r="K1239" s="94">
        <f t="shared" si="37"/>
        <v>2</v>
      </c>
      <c r="L1239" s="95">
        <v>1000000</v>
      </c>
      <c r="M1239" s="17" t="s">
        <v>2740</v>
      </c>
      <c r="N1239" s="95">
        <v>1000</v>
      </c>
      <c r="O1239" s="94" t="s">
        <v>2680</v>
      </c>
      <c r="P1239" s="97">
        <f>N1239*2500</f>
        <v>2500000</v>
      </c>
      <c r="Q1239" s="96" t="s">
        <v>2681</v>
      </c>
      <c r="R1239" s="98">
        <v>1000</v>
      </c>
      <c r="S1239" s="94" t="s">
        <v>2682</v>
      </c>
      <c r="T1239" s="97">
        <f>R1239*1500</f>
        <v>1500000</v>
      </c>
      <c r="U1239" s="94" t="s">
        <v>22</v>
      </c>
      <c r="V1239" s="94"/>
      <c r="W1239" s="94"/>
      <c r="X1239" s="94"/>
      <c r="Y1239" s="94">
        <v>80</v>
      </c>
      <c r="Z1239" s="94">
        <v>20</v>
      </c>
      <c r="AA1239" s="94">
        <v>0</v>
      </c>
      <c r="AB1239" s="94">
        <v>0</v>
      </c>
      <c r="AC1239" s="94"/>
    </row>
    <row r="1240" spans="1:84" ht="30" x14ac:dyDescent="0.2">
      <c r="A1240" s="17" t="s">
        <v>3921</v>
      </c>
      <c r="B1240" s="17" t="s">
        <v>45</v>
      </c>
      <c r="C1240" s="17">
        <v>2025</v>
      </c>
      <c r="D1240" s="17" t="str">
        <f t="array" ref="D1240">_xlfn.SWITCH(E1240,"Bagor","35.18.14","Sukomoro",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40" s="16" t="s">
        <v>45</v>
      </c>
      <c r="F1240" s="17" t="s">
        <v>2741</v>
      </c>
      <c r="G1240" s="17" t="s">
        <v>2742</v>
      </c>
      <c r="H1240" s="101" t="s">
        <v>31</v>
      </c>
      <c r="I1240" s="94">
        <v>1</v>
      </c>
      <c r="J1240" s="94">
        <v>1</v>
      </c>
      <c r="K1240" s="94">
        <f t="shared" si="37"/>
        <v>2</v>
      </c>
      <c r="L1240" s="98">
        <v>5000000</v>
      </c>
      <c r="M1240" s="17" t="s">
        <v>2706</v>
      </c>
      <c r="N1240" s="95">
        <v>250</v>
      </c>
      <c r="O1240" s="94" t="s">
        <v>35</v>
      </c>
      <c r="P1240" s="97">
        <f>N1240*60000</f>
        <v>15000000</v>
      </c>
      <c r="Q1240" s="96" t="s">
        <v>2707</v>
      </c>
      <c r="R1240" s="98">
        <v>400</v>
      </c>
      <c r="S1240" s="94" t="s">
        <v>422</v>
      </c>
      <c r="T1240" s="97">
        <f>R1240*25000</f>
        <v>10000000</v>
      </c>
      <c r="U1240" s="94" t="s">
        <v>22</v>
      </c>
      <c r="V1240" s="94"/>
      <c r="W1240" s="94"/>
      <c r="X1240" s="94"/>
      <c r="Y1240" s="94">
        <v>80</v>
      </c>
      <c r="Z1240" s="94">
        <v>20</v>
      </c>
      <c r="AA1240" s="94">
        <v>0</v>
      </c>
      <c r="AB1240" s="94">
        <v>0</v>
      </c>
      <c r="AC1240" s="94"/>
    </row>
    <row r="1241" spans="1:84" ht="20" x14ac:dyDescent="0.2">
      <c r="A1241" s="17" t="s">
        <v>3921</v>
      </c>
      <c r="B1241" s="17" t="s">
        <v>45</v>
      </c>
      <c r="C1241" s="17">
        <v>2025</v>
      </c>
      <c r="D1241" s="17" t="str">
        <f t="array" ref="D1241">_xlfn.SWITCH(E1241,"Bagor","35.18.14","Sukomoro",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41" s="16" t="s">
        <v>2530</v>
      </c>
      <c r="F1241" s="17" t="s">
        <v>2743</v>
      </c>
      <c r="G1241" s="17" t="s">
        <v>2744</v>
      </c>
      <c r="H1241" s="101" t="s">
        <v>31</v>
      </c>
      <c r="I1241" s="101">
        <v>2</v>
      </c>
      <c r="J1241" s="94">
        <v>3</v>
      </c>
      <c r="K1241" s="94">
        <f t="shared" si="37"/>
        <v>5</v>
      </c>
      <c r="L1241" s="98">
        <v>5000000</v>
      </c>
      <c r="M1241" s="17" t="s">
        <v>2698</v>
      </c>
      <c r="N1241" s="95">
        <v>5000</v>
      </c>
      <c r="O1241" s="94" t="s">
        <v>49</v>
      </c>
      <c r="P1241" s="97">
        <f>N1241*2500</f>
        <v>12500000</v>
      </c>
      <c r="Q1241" s="96" t="s">
        <v>159</v>
      </c>
      <c r="R1241" s="98">
        <v>100</v>
      </c>
      <c r="S1241" s="94" t="s">
        <v>422</v>
      </c>
      <c r="T1241" s="97">
        <f>R1241*15000</f>
        <v>1500000</v>
      </c>
      <c r="U1241" s="94" t="s">
        <v>22</v>
      </c>
      <c r="V1241" s="94"/>
      <c r="W1241" s="94"/>
      <c r="X1241" s="94"/>
      <c r="Y1241" s="94">
        <v>100</v>
      </c>
      <c r="Z1241" s="94">
        <v>0</v>
      </c>
      <c r="AA1241" s="94">
        <v>0</v>
      </c>
      <c r="AB1241" s="94">
        <v>0</v>
      </c>
      <c r="AC1241" s="94"/>
    </row>
    <row r="1242" spans="1:84" ht="20" x14ac:dyDescent="0.2">
      <c r="A1242" s="17" t="s">
        <v>3921</v>
      </c>
      <c r="B1242" s="17" t="s">
        <v>45</v>
      </c>
      <c r="C1242" s="17">
        <v>2025</v>
      </c>
      <c r="D1242" s="17" t="str">
        <f t="array" ref="D1242">_xlfn.SWITCH(E1242,"Bagor","35.18.14","Sukomoro",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42" s="16" t="s">
        <v>2530</v>
      </c>
      <c r="F1242" s="17" t="s">
        <v>2745</v>
      </c>
      <c r="G1242" s="17" t="s">
        <v>2746</v>
      </c>
      <c r="H1242" s="101" t="s">
        <v>31</v>
      </c>
      <c r="I1242" s="101">
        <v>1</v>
      </c>
      <c r="J1242" s="94">
        <v>2</v>
      </c>
      <c r="K1242" s="94">
        <f t="shared" si="37"/>
        <v>3</v>
      </c>
      <c r="L1242" s="98">
        <v>5000000</v>
      </c>
      <c r="M1242" s="17" t="s">
        <v>2747</v>
      </c>
      <c r="N1242" s="95">
        <v>200</v>
      </c>
      <c r="O1242" s="94" t="s">
        <v>35</v>
      </c>
      <c r="P1242" s="97">
        <f>N1242*55000</f>
        <v>11000000</v>
      </c>
      <c r="Q1242" s="96" t="s">
        <v>2657</v>
      </c>
      <c r="R1242" s="98">
        <v>1000</v>
      </c>
      <c r="S1242" s="94" t="s">
        <v>422</v>
      </c>
      <c r="T1242" s="97">
        <f>R1242*4000</f>
        <v>4000000</v>
      </c>
      <c r="U1242" s="94" t="s">
        <v>22</v>
      </c>
      <c r="V1242" s="94"/>
      <c r="W1242" s="94"/>
      <c r="X1242" s="94"/>
      <c r="Y1242" s="94">
        <v>90</v>
      </c>
      <c r="Z1242" s="94">
        <v>10</v>
      </c>
      <c r="AA1242" s="94">
        <v>0</v>
      </c>
      <c r="AB1242" s="94">
        <v>0</v>
      </c>
      <c r="AC1242" s="94"/>
    </row>
    <row r="1243" spans="1:84" ht="20" x14ac:dyDescent="0.2">
      <c r="A1243" s="17" t="s">
        <v>3921</v>
      </c>
      <c r="B1243" s="17" t="s">
        <v>45</v>
      </c>
      <c r="C1243" s="17">
        <v>2025</v>
      </c>
      <c r="D1243" s="17" t="str">
        <f t="array" ref="D1243">_xlfn.SWITCH(E1243,"Bagor","35.18.14","Sukomoro",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243" s="16" t="s">
        <v>140</v>
      </c>
      <c r="F1243" s="17" t="s">
        <v>2748</v>
      </c>
      <c r="G1243" s="17" t="s">
        <v>2749</v>
      </c>
      <c r="H1243" s="101" t="s">
        <v>31</v>
      </c>
      <c r="I1243" s="101">
        <v>1</v>
      </c>
      <c r="J1243" s="94">
        <v>2</v>
      </c>
      <c r="K1243" s="94">
        <f t="shared" si="37"/>
        <v>3</v>
      </c>
      <c r="L1243" s="98">
        <v>3000000</v>
      </c>
      <c r="M1243" s="17" t="s">
        <v>2747</v>
      </c>
      <c r="N1243" s="95">
        <v>200</v>
      </c>
      <c r="O1243" s="94" t="s">
        <v>35</v>
      </c>
      <c r="P1243" s="97">
        <f>N1243*55000</f>
        <v>11000000</v>
      </c>
      <c r="Q1243" s="96" t="s">
        <v>2657</v>
      </c>
      <c r="R1243" s="98">
        <v>1000</v>
      </c>
      <c r="S1243" s="94" t="s">
        <v>422</v>
      </c>
      <c r="T1243" s="97">
        <f>R1243*4000</f>
        <v>4000000</v>
      </c>
      <c r="U1243" s="94" t="s">
        <v>22</v>
      </c>
      <c r="V1243" s="94"/>
      <c r="W1243" s="94"/>
      <c r="X1243" s="94"/>
      <c r="Y1243" s="94">
        <v>90</v>
      </c>
      <c r="Z1243" s="94">
        <v>10</v>
      </c>
      <c r="AA1243" s="94">
        <v>0</v>
      </c>
      <c r="AB1243" s="94">
        <v>0</v>
      </c>
      <c r="AC1243" s="94"/>
    </row>
    <row r="1244" spans="1:84" ht="20" x14ac:dyDescent="0.2">
      <c r="A1244" s="17" t="s">
        <v>3921</v>
      </c>
      <c r="B1244" s="17" t="s">
        <v>45</v>
      </c>
      <c r="C1244" s="17">
        <v>2025</v>
      </c>
      <c r="D1244" s="17" t="str">
        <f t="array" ref="D1244">_xlfn.SWITCH(E1244,"Jatikalen","35.18.20","Kertosono", "35.18.08","Lengkong","35.18.19","Loceret","35.18.04","Tanjunganom","35.18.11","Wilangan","35.18.15")</f>
        <v>35.18.04</v>
      </c>
      <c r="E1244" s="16" t="s">
        <v>41</v>
      </c>
      <c r="F1244" s="17" t="s">
        <v>2750</v>
      </c>
      <c r="G1244" s="17" t="s">
        <v>2751</v>
      </c>
      <c r="H1244" s="101" t="s">
        <v>31</v>
      </c>
      <c r="I1244" s="101">
        <v>1</v>
      </c>
      <c r="J1244" s="94">
        <v>1</v>
      </c>
      <c r="K1244" s="94">
        <f t="shared" si="37"/>
        <v>2</v>
      </c>
      <c r="L1244" s="98">
        <v>3000000</v>
      </c>
      <c r="M1244" s="17" t="s">
        <v>2256</v>
      </c>
      <c r="N1244" s="95"/>
      <c r="O1244" s="94"/>
      <c r="P1244" s="97"/>
      <c r="Q1244" s="96"/>
      <c r="R1244" s="98"/>
      <c r="S1244" s="94"/>
      <c r="T1244" s="97"/>
      <c r="U1244" s="94" t="s">
        <v>22</v>
      </c>
      <c r="V1244" s="94"/>
      <c r="W1244" s="94"/>
      <c r="X1244" s="94"/>
      <c r="Y1244" s="94"/>
      <c r="Z1244" s="94"/>
      <c r="AA1244" s="94"/>
      <c r="AB1244" s="94"/>
      <c r="AC1244" s="94"/>
    </row>
    <row r="1245" spans="1:84" ht="20" x14ac:dyDescent="0.2">
      <c r="A1245" s="17" t="s">
        <v>3921</v>
      </c>
      <c r="B1245" s="17" t="s">
        <v>45</v>
      </c>
      <c r="C1245" s="17">
        <v>2025</v>
      </c>
      <c r="D1245" s="17" t="str">
        <f t="array" ref="D1245">_xlfn.SWITCH(E1245,"Bagor","35.18.14","Sukomoro",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245" s="16" t="s">
        <v>71</v>
      </c>
      <c r="F1245" s="17" t="s">
        <v>2752</v>
      </c>
      <c r="G1245" s="17" t="s">
        <v>2753</v>
      </c>
      <c r="H1245" s="101" t="s">
        <v>31</v>
      </c>
      <c r="I1245" s="101">
        <v>1</v>
      </c>
      <c r="J1245" s="94">
        <v>1</v>
      </c>
      <c r="K1245" s="94">
        <f t="shared" si="37"/>
        <v>2</v>
      </c>
      <c r="L1245" s="98">
        <v>8000000</v>
      </c>
      <c r="M1245" s="17" t="s">
        <v>2698</v>
      </c>
      <c r="N1245" s="95">
        <v>5000</v>
      </c>
      <c r="O1245" s="94" t="s">
        <v>49</v>
      </c>
      <c r="P1245" s="97">
        <v>15500000</v>
      </c>
      <c r="Q1245" s="96" t="s">
        <v>159</v>
      </c>
      <c r="R1245" s="98">
        <v>100</v>
      </c>
      <c r="S1245" s="94" t="s">
        <v>422</v>
      </c>
      <c r="T1245" s="97">
        <v>2000000</v>
      </c>
      <c r="U1245" s="94" t="s">
        <v>22</v>
      </c>
      <c r="V1245" s="94"/>
      <c r="W1245" s="94"/>
      <c r="X1245" s="94"/>
      <c r="Y1245" s="94">
        <v>100</v>
      </c>
      <c r="Z1245" s="94">
        <v>0</v>
      </c>
      <c r="AA1245" s="94">
        <v>0</v>
      </c>
      <c r="AB1245" s="94">
        <v>0</v>
      </c>
      <c r="AC1245" s="94"/>
    </row>
    <row r="1246" spans="1:84" ht="20" x14ac:dyDescent="0.2">
      <c r="A1246" s="17" t="s">
        <v>3921</v>
      </c>
      <c r="B1246" s="17" t="s">
        <v>45</v>
      </c>
      <c r="C1246" s="17">
        <v>2025</v>
      </c>
      <c r="D1246" s="17" t="str">
        <f t="array" ref="D1246">_xlfn.SWITCH(E1246,"Jatikalen","35.18.20","Kertosono", "35.18.08","Lengkong","35.18.19","Loceret","35.18.04","Tanjunganom","35.18.11","Wilangan","35.18.15")</f>
        <v>35.18.04</v>
      </c>
      <c r="E1246" s="16" t="s">
        <v>41</v>
      </c>
      <c r="F1246" s="17" t="s">
        <v>2754</v>
      </c>
      <c r="G1246" s="17" t="s">
        <v>2755</v>
      </c>
      <c r="H1246" s="101" t="s">
        <v>31</v>
      </c>
      <c r="I1246" s="101">
        <v>2</v>
      </c>
      <c r="J1246" s="94">
        <v>2</v>
      </c>
      <c r="K1246" s="94">
        <f t="shared" si="37"/>
        <v>4</v>
      </c>
      <c r="L1246" s="98">
        <v>5000000</v>
      </c>
      <c r="M1246" s="17" t="s">
        <v>2694</v>
      </c>
      <c r="N1246" s="116">
        <v>10000</v>
      </c>
      <c r="O1246" s="116" t="s">
        <v>1420</v>
      </c>
      <c r="P1246" s="116">
        <v>30000000</v>
      </c>
      <c r="Q1246" s="96" t="s">
        <v>2695</v>
      </c>
      <c r="R1246" s="98">
        <v>3000</v>
      </c>
      <c r="S1246" s="94" t="s">
        <v>422</v>
      </c>
      <c r="T1246" s="97">
        <v>20000000</v>
      </c>
      <c r="U1246" s="94" t="s">
        <v>22</v>
      </c>
      <c r="V1246" s="94"/>
      <c r="W1246" s="94"/>
      <c r="X1246" s="94"/>
      <c r="Y1246" s="94"/>
      <c r="Z1246" s="94"/>
      <c r="AA1246" s="94"/>
      <c r="AB1246" s="94"/>
      <c r="AC1246" s="94"/>
    </row>
    <row r="1247" spans="1:84" x14ac:dyDescent="0.2">
      <c r="A1247" s="17" t="s">
        <v>3921</v>
      </c>
      <c r="B1247" s="17" t="s">
        <v>45</v>
      </c>
      <c r="C1247" s="17">
        <v>2025</v>
      </c>
      <c r="D1247" s="17" t="str">
        <f t="array" ref="D1247">_xlfn.SWITCH(E1247,"Bagor","35.18.14","Sukomoro",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247" s="16" t="s">
        <v>157</v>
      </c>
      <c r="F1247" s="17" t="s">
        <v>2756</v>
      </c>
      <c r="G1247" s="17" t="s">
        <v>2757</v>
      </c>
      <c r="H1247" s="101" t="s">
        <v>31</v>
      </c>
      <c r="I1247" s="94">
        <v>1</v>
      </c>
      <c r="J1247" s="94">
        <v>2</v>
      </c>
      <c r="K1247" s="94">
        <f t="shared" si="37"/>
        <v>3</v>
      </c>
      <c r="L1247" s="98">
        <v>6000000</v>
      </c>
      <c r="M1247" s="17" t="s">
        <v>2718</v>
      </c>
      <c r="N1247" s="67">
        <v>10080</v>
      </c>
      <c r="O1247" s="16" t="s">
        <v>422</v>
      </c>
      <c r="P1247" s="70">
        <v>40320000</v>
      </c>
      <c r="Q1247" s="33" t="s">
        <v>1642</v>
      </c>
      <c r="R1247" s="78">
        <v>10080</v>
      </c>
      <c r="S1247" s="16" t="s">
        <v>422</v>
      </c>
      <c r="T1247" s="67">
        <v>8366400</v>
      </c>
      <c r="U1247" s="16" t="s">
        <v>22</v>
      </c>
      <c r="V1247" s="16"/>
      <c r="W1247" s="16"/>
      <c r="X1247" s="16"/>
      <c r="Y1247" s="16">
        <v>80</v>
      </c>
      <c r="Z1247" s="16">
        <v>20</v>
      </c>
      <c r="AA1247" s="16">
        <v>0</v>
      </c>
      <c r="AB1247" s="16">
        <v>0</v>
      </c>
      <c r="AC1247" s="16"/>
    </row>
    <row r="1248" spans="1:84" ht="20" x14ac:dyDescent="0.2">
      <c r="A1248" s="17" t="s">
        <v>3921</v>
      </c>
      <c r="B1248" s="17" t="s">
        <v>45</v>
      </c>
      <c r="C1248" s="17">
        <v>2025</v>
      </c>
      <c r="D1248" s="17" t="str">
        <f t="array" ref="D1248">_xlfn.SWITCH(E1248,"Jatikalen","35.18.20","Kertosono", "35.18.08","Lengkong","35.18.19","Loceret","35.18.04","Tanjunganom","35.18.11","Wilangan","35.18.15")</f>
        <v>35.18.15</v>
      </c>
      <c r="E1248" s="16" t="s">
        <v>1158</v>
      </c>
      <c r="F1248" s="17" t="s">
        <v>2758</v>
      </c>
      <c r="G1248" s="17" t="s">
        <v>2759</v>
      </c>
      <c r="H1248" s="101" t="s">
        <v>31</v>
      </c>
      <c r="I1248" s="94">
        <v>1</v>
      </c>
      <c r="J1248" s="94">
        <v>1</v>
      </c>
      <c r="K1248" s="94">
        <f t="shared" si="37"/>
        <v>2</v>
      </c>
      <c r="L1248" s="98">
        <v>5000000</v>
      </c>
      <c r="M1248" s="17" t="s">
        <v>2698</v>
      </c>
      <c r="N1248" s="95">
        <v>5000</v>
      </c>
      <c r="O1248" s="94" t="s">
        <v>49</v>
      </c>
      <c r="P1248" s="97">
        <f>N1248*2500</f>
        <v>12500000</v>
      </c>
      <c r="Q1248" s="96" t="s">
        <v>159</v>
      </c>
      <c r="R1248" s="98">
        <v>100</v>
      </c>
      <c r="S1248" s="94" t="s">
        <v>422</v>
      </c>
      <c r="T1248" s="97">
        <f>R1248*15000</f>
        <v>1500000</v>
      </c>
      <c r="U1248" s="94" t="s">
        <v>22</v>
      </c>
      <c r="V1248" s="94"/>
      <c r="W1248" s="94"/>
      <c r="X1248" s="94"/>
      <c r="Y1248" s="94">
        <v>100</v>
      </c>
      <c r="Z1248" s="94">
        <v>0</v>
      </c>
      <c r="AA1248" s="94">
        <v>0</v>
      </c>
      <c r="AB1248" s="94">
        <v>0</v>
      </c>
      <c r="AC1248" s="94"/>
      <c r="AD1248" s="118"/>
    </row>
    <row r="1249" spans="1:30" ht="20" x14ac:dyDescent="0.2">
      <c r="A1249" s="17" t="s">
        <v>3921</v>
      </c>
      <c r="B1249" s="17" t="s">
        <v>45</v>
      </c>
      <c r="C1249" s="17">
        <v>2025</v>
      </c>
      <c r="D1249" s="17" t="str">
        <f t="array" ref="D1249">_xlfn.SWITCH(E1249,"Bagor","35.18.14","Sukomoro",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49" s="16" t="s">
        <v>45</v>
      </c>
      <c r="F1249" s="17" t="s">
        <v>2760</v>
      </c>
      <c r="G1249" s="17" t="s">
        <v>2761</v>
      </c>
      <c r="H1249" s="101" t="s">
        <v>31</v>
      </c>
      <c r="I1249" s="94">
        <v>0</v>
      </c>
      <c r="J1249" s="94">
        <v>2</v>
      </c>
      <c r="K1249" s="94">
        <f t="shared" si="37"/>
        <v>2</v>
      </c>
      <c r="L1249" s="95">
        <v>5000000</v>
      </c>
      <c r="M1249" s="17" t="s">
        <v>2733</v>
      </c>
      <c r="N1249" s="95">
        <v>750</v>
      </c>
      <c r="O1249" s="16" t="s">
        <v>422</v>
      </c>
      <c r="P1249" s="97">
        <v>18000000</v>
      </c>
      <c r="Q1249" s="96" t="s">
        <v>1553</v>
      </c>
      <c r="R1249" s="98">
        <v>500</v>
      </c>
      <c r="S1249" s="94" t="s">
        <v>422</v>
      </c>
      <c r="T1249" s="97">
        <v>14000000</v>
      </c>
      <c r="U1249" s="94" t="s">
        <v>22</v>
      </c>
      <c r="V1249" s="94"/>
      <c r="W1249" s="94"/>
      <c r="X1249" s="94"/>
      <c r="Y1249" s="94"/>
      <c r="Z1249" s="94"/>
      <c r="AA1249" s="94"/>
      <c r="AB1249" s="119"/>
      <c r="AC1249" s="119"/>
      <c r="AD1249" s="118"/>
    </row>
    <row r="1250" spans="1:30" ht="20" x14ac:dyDescent="0.2">
      <c r="A1250" s="17" t="s">
        <v>3921</v>
      </c>
      <c r="B1250" s="17" t="s">
        <v>45</v>
      </c>
      <c r="C1250" s="17">
        <v>2025</v>
      </c>
      <c r="D1250" s="17" t="str">
        <f t="array" ref="D1250">_xlfn.SWITCH(E1250,"Bagor","35.18.14","Sukomoro",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50" s="16" t="s">
        <v>2530</v>
      </c>
      <c r="F1250" s="17" t="s">
        <v>2762</v>
      </c>
      <c r="G1250" s="17" t="s">
        <v>2763</v>
      </c>
      <c r="H1250" s="101" t="s">
        <v>31</v>
      </c>
      <c r="I1250" s="94">
        <v>1</v>
      </c>
      <c r="J1250" s="94">
        <v>1</v>
      </c>
      <c r="K1250" s="94">
        <f t="shared" si="37"/>
        <v>2</v>
      </c>
      <c r="L1250" s="95">
        <v>3000000</v>
      </c>
      <c r="M1250" s="17" t="s">
        <v>2747</v>
      </c>
      <c r="N1250" s="95">
        <v>200</v>
      </c>
      <c r="O1250" s="94" t="s">
        <v>35</v>
      </c>
      <c r="P1250" s="97">
        <f>N1250*55000</f>
        <v>11000000</v>
      </c>
      <c r="Q1250" s="96" t="s">
        <v>2657</v>
      </c>
      <c r="R1250" s="98">
        <v>1000</v>
      </c>
      <c r="S1250" s="94" t="s">
        <v>422</v>
      </c>
      <c r="T1250" s="97">
        <f>R1250*4000</f>
        <v>4000000</v>
      </c>
      <c r="U1250" s="94" t="s">
        <v>22</v>
      </c>
      <c r="V1250" s="94"/>
      <c r="W1250" s="94"/>
      <c r="X1250" s="94"/>
      <c r="Y1250" s="94">
        <v>90</v>
      </c>
      <c r="Z1250" s="94">
        <v>10</v>
      </c>
      <c r="AA1250" s="94">
        <v>0</v>
      </c>
      <c r="AB1250" s="94">
        <v>0</v>
      </c>
      <c r="AC1250" s="94"/>
      <c r="AD1250" s="118"/>
    </row>
    <row r="1251" spans="1:30" ht="10.5" x14ac:dyDescent="0.2">
      <c r="A1251" s="17" t="s">
        <v>3921</v>
      </c>
      <c r="B1251" s="17" t="s">
        <v>45</v>
      </c>
      <c r="C1251" s="17">
        <v>2025</v>
      </c>
      <c r="D1251" s="17" t="str">
        <f t="array" ref="D1251">_xlfn.SWITCH(E1251,"Bagor","35.18.14","Sukomoro",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51" s="16" t="s">
        <v>45</v>
      </c>
      <c r="F1251" s="17" t="s">
        <v>2764</v>
      </c>
      <c r="G1251" s="17" t="s">
        <v>2765</v>
      </c>
      <c r="H1251" s="101" t="s">
        <v>31</v>
      </c>
      <c r="I1251" s="109">
        <v>1</v>
      </c>
      <c r="J1251" s="109">
        <v>2</v>
      </c>
      <c r="K1251" s="110">
        <f t="shared" si="37"/>
        <v>3</v>
      </c>
      <c r="L1251" s="95">
        <v>3000000</v>
      </c>
      <c r="M1251" s="17" t="s">
        <v>2747</v>
      </c>
      <c r="N1251" s="95">
        <v>200</v>
      </c>
      <c r="O1251" s="94" t="s">
        <v>35</v>
      </c>
      <c r="P1251" s="97">
        <f>N1251*55000</f>
        <v>11000000</v>
      </c>
      <c r="Q1251" s="96" t="s">
        <v>2657</v>
      </c>
      <c r="R1251" s="98">
        <v>1000</v>
      </c>
      <c r="S1251" s="94" t="s">
        <v>422</v>
      </c>
      <c r="T1251" s="97">
        <f>R1251*4000</f>
        <v>4000000</v>
      </c>
      <c r="U1251" s="94" t="s">
        <v>22</v>
      </c>
      <c r="V1251" s="94"/>
      <c r="W1251" s="94"/>
      <c r="X1251" s="94"/>
      <c r="Y1251" s="94">
        <v>90</v>
      </c>
      <c r="Z1251" s="94">
        <v>10</v>
      </c>
      <c r="AA1251" s="94">
        <v>0</v>
      </c>
      <c r="AB1251" s="94">
        <v>0</v>
      </c>
      <c r="AC1251" s="94"/>
      <c r="AD1251" s="120"/>
    </row>
    <row r="1252" spans="1:30" ht="20" x14ac:dyDescent="0.2">
      <c r="A1252" s="17" t="s">
        <v>3921</v>
      </c>
      <c r="B1252" s="17" t="s">
        <v>45</v>
      </c>
      <c r="C1252" s="17">
        <v>2025</v>
      </c>
      <c r="D1252" s="17" t="str">
        <f t="array" ref="D1252">_xlfn.SWITCH(E1252,"Jatikalen","35.18.20","Kertosono", "35.18.08","Lengkong","35.18.19","Loceret","35.18.04","Tanjunganom","35.18.11","Wilangan","35.18.15")</f>
        <v>35.18.11</v>
      </c>
      <c r="E1252" s="16" t="s">
        <v>60</v>
      </c>
      <c r="F1252" s="17" t="s">
        <v>2766</v>
      </c>
      <c r="G1252" s="17" t="s">
        <v>1541</v>
      </c>
      <c r="H1252" s="101" t="s">
        <v>31</v>
      </c>
      <c r="I1252" s="101">
        <v>1</v>
      </c>
      <c r="J1252" s="101">
        <v>0</v>
      </c>
      <c r="K1252" s="101">
        <f t="shared" si="37"/>
        <v>1</v>
      </c>
      <c r="L1252" s="98">
        <v>5000000</v>
      </c>
      <c r="M1252" s="17" t="s">
        <v>2698</v>
      </c>
      <c r="N1252" s="95">
        <v>5000</v>
      </c>
      <c r="O1252" s="94" t="s">
        <v>49</v>
      </c>
      <c r="P1252" s="97">
        <f>N1252*2500</f>
        <v>12500000</v>
      </c>
      <c r="Q1252" s="96" t="s">
        <v>159</v>
      </c>
      <c r="R1252" s="98">
        <v>100</v>
      </c>
      <c r="S1252" s="94" t="s">
        <v>422</v>
      </c>
      <c r="T1252" s="97">
        <f>R1252*15000</f>
        <v>1500000</v>
      </c>
      <c r="U1252" s="94" t="s">
        <v>22</v>
      </c>
      <c r="V1252" s="94"/>
      <c r="W1252" s="94"/>
      <c r="X1252" s="94"/>
      <c r="Y1252" s="94">
        <v>100</v>
      </c>
      <c r="Z1252" s="94">
        <v>0</v>
      </c>
      <c r="AA1252" s="94">
        <v>0</v>
      </c>
      <c r="AB1252" s="94">
        <v>0</v>
      </c>
      <c r="AC1252" s="94"/>
      <c r="AD1252" s="120"/>
    </row>
    <row r="1253" spans="1:30" ht="10.5" x14ac:dyDescent="0.2">
      <c r="A1253" s="17" t="s">
        <v>3921</v>
      </c>
      <c r="B1253" s="17" t="s">
        <v>45</v>
      </c>
      <c r="C1253" s="17">
        <v>2025</v>
      </c>
      <c r="D1253" s="17" t="str">
        <f t="array" ref="D1253">_xlfn.SWITCH(E1253,"Bagor","35.18.14","Sukomoro",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253" s="16" t="s">
        <v>71</v>
      </c>
      <c r="F1253" s="17" t="s">
        <v>2767</v>
      </c>
      <c r="G1253" s="17" t="s">
        <v>2768</v>
      </c>
      <c r="H1253" s="101" t="s">
        <v>31</v>
      </c>
      <c r="I1253" s="101">
        <v>1</v>
      </c>
      <c r="J1253" s="101">
        <v>1</v>
      </c>
      <c r="K1253" s="101">
        <f t="shared" si="37"/>
        <v>2</v>
      </c>
      <c r="L1253" s="95">
        <v>3000000</v>
      </c>
      <c r="M1253" s="17" t="s">
        <v>2747</v>
      </c>
      <c r="N1253" s="95">
        <v>200</v>
      </c>
      <c r="O1253" s="94" t="s">
        <v>35</v>
      </c>
      <c r="P1253" s="97">
        <f>N1253*55000</f>
        <v>11000000</v>
      </c>
      <c r="Q1253" s="96" t="s">
        <v>2657</v>
      </c>
      <c r="R1253" s="98">
        <v>1000</v>
      </c>
      <c r="S1253" s="94" t="s">
        <v>422</v>
      </c>
      <c r="T1253" s="97">
        <f>R1253*4000</f>
        <v>4000000</v>
      </c>
      <c r="U1253" s="94" t="s">
        <v>22</v>
      </c>
      <c r="V1253" s="94"/>
      <c r="W1253" s="94"/>
      <c r="X1253" s="94"/>
      <c r="Y1253" s="94">
        <v>90</v>
      </c>
      <c r="Z1253" s="94">
        <v>10</v>
      </c>
      <c r="AA1253" s="94">
        <v>0</v>
      </c>
      <c r="AB1253" s="94">
        <v>0</v>
      </c>
      <c r="AC1253" s="94"/>
      <c r="AD1253" s="120"/>
    </row>
    <row r="1254" spans="1:30" ht="20" x14ac:dyDescent="0.2">
      <c r="A1254" s="17" t="s">
        <v>3921</v>
      </c>
      <c r="B1254" s="17" t="s">
        <v>45</v>
      </c>
      <c r="C1254" s="17">
        <v>2025</v>
      </c>
      <c r="D1254" s="17" t="str">
        <f t="array" ref="D1254">_xlfn.SWITCH(E1254,"Jatikalen","35.18.20","Kertosono", "35.18.08","Lengkong","35.18.19","Loceret","35.18.04","Tanjunganom","35.18.11","Wilangan","35.18.15")</f>
        <v>35.18.08</v>
      </c>
      <c r="E1254" s="16" t="s">
        <v>128</v>
      </c>
      <c r="F1254" s="17" t="s">
        <v>2769</v>
      </c>
      <c r="G1254" s="115" t="s">
        <v>2770</v>
      </c>
      <c r="H1254" s="101" t="s">
        <v>31</v>
      </c>
      <c r="I1254" s="94">
        <v>1</v>
      </c>
      <c r="J1254" s="94">
        <v>1</v>
      </c>
      <c r="K1254" s="94">
        <f t="shared" ref="K1254:K1317" si="38">I1254+J1254</f>
        <v>2</v>
      </c>
      <c r="L1254" s="98">
        <v>5000000</v>
      </c>
      <c r="M1254" s="17" t="s">
        <v>2698</v>
      </c>
      <c r="N1254" s="95">
        <v>5000</v>
      </c>
      <c r="O1254" s="94" t="s">
        <v>49</v>
      </c>
      <c r="P1254" s="97">
        <f>N1254*2500</f>
        <v>12500000</v>
      </c>
      <c r="Q1254" s="96" t="s">
        <v>159</v>
      </c>
      <c r="R1254" s="98">
        <v>100</v>
      </c>
      <c r="S1254" s="94" t="s">
        <v>422</v>
      </c>
      <c r="T1254" s="97">
        <f>R1254*15000</f>
        <v>1500000</v>
      </c>
      <c r="U1254" s="94" t="s">
        <v>22</v>
      </c>
      <c r="V1254" s="94"/>
      <c r="W1254" s="94"/>
      <c r="X1254" s="94"/>
      <c r="Y1254" s="94">
        <v>100</v>
      </c>
      <c r="Z1254" s="94">
        <v>0</v>
      </c>
      <c r="AA1254" s="94">
        <v>0</v>
      </c>
      <c r="AB1254" s="94">
        <v>0</v>
      </c>
      <c r="AC1254" s="94"/>
      <c r="AD1254" s="120"/>
    </row>
    <row r="1255" spans="1:30" ht="30" x14ac:dyDescent="0.2">
      <c r="A1255" s="17" t="s">
        <v>3921</v>
      </c>
      <c r="B1255" s="17" t="s">
        <v>45</v>
      </c>
      <c r="C1255" s="17">
        <v>2025</v>
      </c>
      <c r="D1255" s="17" t="str">
        <f t="array" ref="D1255">_xlfn.SWITCH(E1255,"Bagor","35.18.14","Sukomoro",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55" s="16" t="s">
        <v>45</v>
      </c>
      <c r="F1255" s="17" t="s">
        <v>2771</v>
      </c>
      <c r="G1255" s="17" t="s">
        <v>2772</v>
      </c>
      <c r="H1255" s="101" t="s">
        <v>31</v>
      </c>
      <c r="I1255" s="94">
        <v>1</v>
      </c>
      <c r="J1255" s="94">
        <v>2</v>
      </c>
      <c r="K1255" s="94">
        <f t="shared" si="38"/>
        <v>3</v>
      </c>
      <c r="L1255" s="95">
        <v>2000000</v>
      </c>
      <c r="M1255" s="17" t="s">
        <v>2740</v>
      </c>
      <c r="N1255" s="95"/>
      <c r="O1255" s="94"/>
      <c r="P1255" s="97"/>
      <c r="Q1255" s="96"/>
      <c r="R1255" s="98"/>
      <c r="S1255" s="94"/>
      <c r="T1255" s="97"/>
      <c r="U1255" s="94" t="s">
        <v>22</v>
      </c>
      <c r="V1255" s="94"/>
      <c r="W1255" s="94"/>
      <c r="X1255" s="94"/>
      <c r="Y1255" s="94"/>
      <c r="Z1255" s="94"/>
      <c r="AA1255" s="94"/>
      <c r="AB1255" s="121"/>
      <c r="AC1255" s="121"/>
      <c r="AD1255" s="122"/>
    </row>
    <row r="1256" spans="1:30" ht="20" x14ac:dyDescent="0.2">
      <c r="A1256" s="17" t="s">
        <v>3921</v>
      </c>
      <c r="B1256" s="17" t="s">
        <v>45</v>
      </c>
      <c r="C1256" s="17">
        <v>2025</v>
      </c>
      <c r="D1256" s="17" t="str">
        <f t="array" ref="D1256">_xlfn.SWITCH(E1256,"Bagor","35.18.14","Sukomoro",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256" s="16" t="s">
        <v>157</v>
      </c>
      <c r="F1256" s="17" t="s">
        <v>2773</v>
      </c>
      <c r="G1256" s="17" t="s">
        <v>2774</v>
      </c>
      <c r="H1256" s="101" t="s">
        <v>31</v>
      </c>
      <c r="I1256" s="94">
        <v>1</v>
      </c>
      <c r="J1256" s="94">
        <v>3</v>
      </c>
      <c r="K1256" s="94">
        <f t="shared" si="38"/>
        <v>4</v>
      </c>
      <c r="L1256" s="98">
        <v>5000000</v>
      </c>
      <c r="M1256" s="17" t="s">
        <v>2698</v>
      </c>
      <c r="N1256" s="95">
        <v>5000</v>
      </c>
      <c r="O1256" s="94" t="s">
        <v>49</v>
      </c>
      <c r="P1256" s="97">
        <f>N1256*2500</f>
        <v>12500000</v>
      </c>
      <c r="Q1256" s="96" t="s">
        <v>159</v>
      </c>
      <c r="R1256" s="98">
        <v>100</v>
      </c>
      <c r="S1256" s="94" t="s">
        <v>422</v>
      </c>
      <c r="T1256" s="97">
        <f>R1256*15000</f>
        <v>1500000</v>
      </c>
      <c r="U1256" s="94" t="s">
        <v>22</v>
      </c>
      <c r="V1256" s="94"/>
      <c r="W1256" s="94"/>
      <c r="X1256" s="94"/>
      <c r="Y1256" s="94">
        <v>100</v>
      </c>
      <c r="Z1256" s="94">
        <v>0</v>
      </c>
      <c r="AA1256" s="94">
        <v>0</v>
      </c>
      <c r="AB1256" s="94">
        <v>0</v>
      </c>
      <c r="AC1256" s="94"/>
      <c r="AD1256" s="123"/>
    </row>
    <row r="1257" spans="1:30" ht="20" x14ac:dyDescent="0.2">
      <c r="A1257" s="17" t="s">
        <v>3921</v>
      </c>
      <c r="B1257" s="17" t="s">
        <v>45</v>
      </c>
      <c r="C1257" s="17">
        <v>2025</v>
      </c>
      <c r="D1257" s="17" t="str">
        <f t="array" ref="D1257">_xlfn.SWITCH(E1257,"Bagor","35.18.14","Sukomoro",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57" s="16" t="s">
        <v>162</v>
      </c>
      <c r="F1257" s="17" t="s">
        <v>2775</v>
      </c>
      <c r="G1257" s="17" t="s">
        <v>2776</v>
      </c>
      <c r="H1257" s="101" t="s">
        <v>31</v>
      </c>
      <c r="I1257" s="94">
        <v>1</v>
      </c>
      <c r="J1257" s="94">
        <v>2</v>
      </c>
      <c r="K1257" s="94">
        <f t="shared" si="38"/>
        <v>3</v>
      </c>
      <c r="L1257" s="95">
        <v>2000000</v>
      </c>
      <c r="M1257" s="96" t="s">
        <v>2701</v>
      </c>
      <c r="N1257" s="95">
        <f>15*25*12</f>
        <v>4500</v>
      </c>
      <c r="O1257" s="94" t="s">
        <v>422</v>
      </c>
      <c r="P1257" s="97">
        <v>60000000</v>
      </c>
      <c r="Q1257" s="96" t="s">
        <v>2587</v>
      </c>
      <c r="R1257" s="98">
        <v>2000</v>
      </c>
      <c r="S1257" s="94" t="s">
        <v>422</v>
      </c>
      <c r="T1257" s="97">
        <f>R1257*22000</f>
        <v>44000000</v>
      </c>
      <c r="U1257" s="94" t="s">
        <v>22</v>
      </c>
      <c r="V1257" s="94" t="s">
        <v>2579</v>
      </c>
      <c r="W1257" s="94">
        <v>75</v>
      </c>
      <c r="X1257" s="94" t="s">
        <v>422</v>
      </c>
      <c r="Y1257" s="94">
        <v>80</v>
      </c>
      <c r="Z1257" s="94">
        <v>20</v>
      </c>
      <c r="AA1257" s="94">
        <v>0</v>
      </c>
      <c r="AB1257" s="94">
        <v>0</v>
      </c>
      <c r="AC1257" s="94"/>
      <c r="AD1257" s="123"/>
    </row>
    <row r="1258" spans="1:30" ht="20" x14ac:dyDescent="0.2">
      <c r="A1258" s="17" t="s">
        <v>3921</v>
      </c>
      <c r="B1258" s="17" t="s">
        <v>45</v>
      </c>
      <c r="C1258" s="17">
        <v>2025</v>
      </c>
      <c r="D1258" s="17" t="str">
        <f t="array" ref="D1258">_xlfn.SWITCH(E1258,"Bagor","35.18.14","Sukomoro",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258" s="16" t="s">
        <v>103</v>
      </c>
      <c r="F1258" s="17" t="s">
        <v>2777</v>
      </c>
      <c r="G1258" s="17" t="s">
        <v>2778</v>
      </c>
      <c r="H1258" s="101" t="s">
        <v>31</v>
      </c>
      <c r="I1258" s="94">
        <v>2</v>
      </c>
      <c r="J1258" s="94">
        <v>5</v>
      </c>
      <c r="K1258" s="94">
        <f t="shared" si="38"/>
        <v>7</v>
      </c>
      <c r="L1258" s="95">
        <v>5000000</v>
      </c>
      <c r="M1258" s="96" t="s">
        <v>1412</v>
      </c>
      <c r="N1258" s="95">
        <v>1000</v>
      </c>
      <c r="O1258" s="94" t="s">
        <v>2680</v>
      </c>
      <c r="P1258" s="97">
        <f>N1258*2500</f>
        <v>2500000</v>
      </c>
      <c r="Q1258" s="96" t="s">
        <v>2681</v>
      </c>
      <c r="R1258" s="98">
        <v>1000</v>
      </c>
      <c r="S1258" s="94" t="s">
        <v>2682</v>
      </c>
      <c r="T1258" s="97">
        <f>R1258*1500</f>
        <v>1500000</v>
      </c>
      <c r="U1258" s="94" t="s">
        <v>22</v>
      </c>
      <c r="V1258" s="94"/>
      <c r="W1258" s="94"/>
      <c r="X1258" s="94"/>
      <c r="Y1258" s="94">
        <v>80</v>
      </c>
      <c r="Z1258" s="94">
        <v>20</v>
      </c>
      <c r="AA1258" s="94">
        <v>0</v>
      </c>
      <c r="AB1258" s="94">
        <v>0</v>
      </c>
      <c r="AC1258" s="94"/>
    </row>
    <row r="1259" spans="1:30" ht="20" x14ac:dyDescent="0.2">
      <c r="A1259" s="17" t="s">
        <v>3921</v>
      </c>
      <c r="B1259" s="17" t="s">
        <v>45</v>
      </c>
      <c r="C1259" s="17">
        <v>2025</v>
      </c>
      <c r="D1259" s="17" t="str">
        <f t="array" ref="D1259">_xlfn.SWITCH(E1259,"Jatikalen","35.18.20","Kertosono", "35.18.08","Lengkong","35.18.19","Loceret","35.18.04","Tanjunganom","35.18.11","Wilangan","35.18.15")</f>
        <v>35.18.04</v>
      </c>
      <c r="E1259" s="16" t="s">
        <v>41</v>
      </c>
      <c r="F1259" s="17" t="s">
        <v>2779</v>
      </c>
      <c r="G1259" s="17" t="s">
        <v>2780</v>
      </c>
      <c r="H1259" s="101" t="s">
        <v>31</v>
      </c>
      <c r="I1259" s="94">
        <v>2</v>
      </c>
      <c r="J1259" s="94">
        <v>3</v>
      </c>
      <c r="K1259" s="94">
        <f t="shared" si="38"/>
        <v>5</v>
      </c>
      <c r="L1259" s="98">
        <v>5000000</v>
      </c>
      <c r="M1259" s="17" t="s">
        <v>2706</v>
      </c>
      <c r="N1259" s="95">
        <v>250</v>
      </c>
      <c r="O1259" s="94" t="s">
        <v>35</v>
      </c>
      <c r="P1259" s="97">
        <f>N1259*60000</f>
        <v>15000000</v>
      </c>
      <c r="Q1259" s="96" t="s">
        <v>2707</v>
      </c>
      <c r="R1259" s="98">
        <v>400</v>
      </c>
      <c r="S1259" s="94" t="s">
        <v>422</v>
      </c>
      <c r="T1259" s="97">
        <f>R1259*25000</f>
        <v>10000000</v>
      </c>
      <c r="U1259" s="94" t="s">
        <v>22</v>
      </c>
      <c r="V1259" s="94"/>
      <c r="W1259" s="94"/>
      <c r="X1259" s="94"/>
      <c r="Y1259" s="94">
        <v>80</v>
      </c>
      <c r="Z1259" s="94">
        <v>20</v>
      </c>
      <c r="AA1259" s="94">
        <v>0</v>
      </c>
      <c r="AB1259" s="94">
        <v>0</v>
      </c>
      <c r="AC1259" s="94"/>
    </row>
    <row r="1260" spans="1:30" x14ac:dyDescent="0.2">
      <c r="A1260" s="17" t="s">
        <v>3921</v>
      </c>
      <c r="B1260" s="17" t="s">
        <v>45</v>
      </c>
      <c r="C1260" s="17">
        <v>2025</v>
      </c>
      <c r="D1260" s="17" t="str">
        <f t="array" ref="D1260">_xlfn.SWITCH(E1260,"Bagor","35.18.14","Sukomoro",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60" s="16" t="s">
        <v>124</v>
      </c>
      <c r="F1260" s="17" t="s">
        <v>2781</v>
      </c>
      <c r="G1260" s="17" t="s">
        <v>2782</v>
      </c>
      <c r="H1260" s="101" t="s">
        <v>31</v>
      </c>
      <c r="I1260" s="94">
        <v>3</v>
      </c>
      <c r="J1260" s="94">
        <v>2</v>
      </c>
      <c r="K1260" s="94">
        <f t="shared" si="38"/>
        <v>5</v>
      </c>
      <c r="L1260" s="95">
        <v>5000000</v>
      </c>
      <c r="M1260" s="17" t="s">
        <v>2783</v>
      </c>
      <c r="N1260" s="95"/>
      <c r="O1260" s="94"/>
      <c r="P1260" s="97"/>
      <c r="Q1260" s="96" t="s">
        <v>1642</v>
      </c>
      <c r="R1260" s="98"/>
      <c r="S1260" s="94"/>
      <c r="T1260" s="97"/>
      <c r="U1260" s="94" t="s">
        <v>22</v>
      </c>
      <c r="V1260" s="94"/>
      <c r="W1260" s="94"/>
      <c r="X1260" s="94"/>
      <c r="Y1260" s="94"/>
      <c r="Z1260" s="94"/>
      <c r="AA1260" s="94"/>
      <c r="AB1260" s="94"/>
      <c r="AC1260" s="94"/>
    </row>
    <row r="1261" spans="1:30" ht="20" x14ac:dyDescent="0.2">
      <c r="A1261" s="17" t="s">
        <v>3921</v>
      </c>
      <c r="B1261" s="17" t="s">
        <v>45</v>
      </c>
      <c r="C1261" s="17">
        <v>2025</v>
      </c>
      <c r="D1261" s="17" t="str">
        <f t="array" ref="D1261">_xlfn.SWITCH(E1261,"Jatikalen","35.18.20","Kertosono", "35.18.08","Lengkong","35.18.19","Loceret","35.18.04","Tanjunganom","35.18.11","Wilangan","35.18.15")</f>
        <v>35.18.19</v>
      </c>
      <c r="E1261" s="16" t="s">
        <v>64</v>
      </c>
      <c r="F1261" s="17" t="s">
        <v>2784</v>
      </c>
      <c r="G1261" s="17" t="s">
        <v>2785</v>
      </c>
      <c r="H1261" s="101" t="s">
        <v>31</v>
      </c>
      <c r="I1261" s="94">
        <v>3</v>
      </c>
      <c r="J1261" s="94">
        <v>4</v>
      </c>
      <c r="K1261" s="94">
        <f t="shared" si="38"/>
        <v>7</v>
      </c>
      <c r="L1261" s="95">
        <v>3000000</v>
      </c>
      <c r="M1261" s="17" t="s">
        <v>2747</v>
      </c>
      <c r="N1261" s="95">
        <v>200</v>
      </c>
      <c r="O1261" s="94" t="s">
        <v>35</v>
      </c>
      <c r="P1261" s="97">
        <f>N1261*55000</f>
        <v>11000000</v>
      </c>
      <c r="Q1261" s="96" t="s">
        <v>2657</v>
      </c>
      <c r="R1261" s="98">
        <v>1000</v>
      </c>
      <c r="S1261" s="94" t="s">
        <v>422</v>
      </c>
      <c r="T1261" s="97">
        <f>R1261*4000</f>
        <v>4000000</v>
      </c>
      <c r="U1261" s="94" t="s">
        <v>22</v>
      </c>
      <c r="V1261" s="94"/>
      <c r="W1261" s="94"/>
      <c r="X1261" s="94"/>
      <c r="Y1261" s="94">
        <v>90</v>
      </c>
      <c r="Z1261" s="94">
        <v>10</v>
      </c>
      <c r="AA1261" s="94">
        <v>0</v>
      </c>
      <c r="AB1261" s="94">
        <v>0</v>
      </c>
      <c r="AC1261" s="94"/>
    </row>
    <row r="1262" spans="1:30" ht="20" x14ac:dyDescent="0.2">
      <c r="A1262" s="17" t="s">
        <v>3921</v>
      </c>
      <c r="B1262" s="17" t="s">
        <v>45</v>
      </c>
      <c r="C1262" s="17">
        <v>2025</v>
      </c>
      <c r="D1262" s="17" t="str">
        <f t="array" ref="D1262">_xlfn.SWITCH(E1262,"Bagor","35.18.14","Sukomoro",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62" s="16" t="s">
        <v>45</v>
      </c>
      <c r="F1262" s="17" t="s">
        <v>2786</v>
      </c>
      <c r="G1262" s="17" t="s">
        <v>2787</v>
      </c>
      <c r="H1262" s="101" t="s">
        <v>31</v>
      </c>
      <c r="I1262" s="94">
        <v>3</v>
      </c>
      <c r="J1262" s="94">
        <v>1</v>
      </c>
      <c r="K1262" s="94">
        <f t="shared" si="38"/>
        <v>4</v>
      </c>
      <c r="L1262" s="95">
        <v>5000000</v>
      </c>
      <c r="M1262" s="17" t="s">
        <v>2788</v>
      </c>
      <c r="N1262" s="95"/>
      <c r="O1262" s="94"/>
      <c r="P1262" s="97"/>
      <c r="Q1262" s="96" t="s">
        <v>2789</v>
      </c>
      <c r="R1262" s="98"/>
      <c r="S1262" s="94"/>
      <c r="T1262" s="97"/>
      <c r="U1262" s="94" t="s">
        <v>22</v>
      </c>
      <c r="V1262" s="94"/>
      <c r="W1262" s="94"/>
      <c r="X1262" s="94"/>
      <c r="Y1262" s="94"/>
      <c r="Z1262" s="94"/>
      <c r="AA1262" s="94"/>
      <c r="AB1262" s="94"/>
      <c r="AC1262" s="94"/>
    </row>
    <row r="1263" spans="1:30" ht="20" x14ac:dyDescent="0.2">
      <c r="A1263" s="17" t="s">
        <v>3921</v>
      </c>
      <c r="B1263" s="17" t="s">
        <v>45</v>
      </c>
      <c r="C1263" s="17">
        <v>2025</v>
      </c>
      <c r="D1263" s="17" t="str">
        <f t="array" ref="D1263">_xlfn.SWITCH(E1263,"Bagor","35.18.14","Sukomoro",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63" s="16" t="s">
        <v>188</v>
      </c>
      <c r="F1263" s="17" t="s">
        <v>2790</v>
      </c>
      <c r="G1263" s="17" t="s">
        <v>2791</v>
      </c>
      <c r="H1263" s="101" t="s">
        <v>31</v>
      </c>
      <c r="I1263" s="94">
        <v>2</v>
      </c>
      <c r="J1263" s="94">
        <v>1</v>
      </c>
      <c r="K1263" s="94">
        <f t="shared" si="38"/>
        <v>3</v>
      </c>
      <c r="L1263" s="95">
        <v>10000000</v>
      </c>
      <c r="M1263" s="17" t="s">
        <v>2792</v>
      </c>
      <c r="N1263" s="95"/>
      <c r="O1263" s="94"/>
      <c r="P1263" s="97"/>
      <c r="Q1263" s="96" t="s">
        <v>2793</v>
      </c>
      <c r="R1263" s="98"/>
      <c r="S1263" s="94"/>
      <c r="T1263" s="97"/>
      <c r="U1263" s="94" t="s">
        <v>22</v>
      </c>
      <c r="V1263" s="94"/>
      <c r="W1263" s="94"/>
      <c r="X1263" s="94"/>
      <c r="Y1263" s="94"/>
      <c r="Z1263" s="94"/>
      <c r="AA1263" s="94"/>
      <c r="AB1263" s="94"/>
      <c r="AC1263" s="94"/>
    </row>
    <row r="1264" spans="1:30" ht="20" x14ac:dyDescent="0.2">
      <c r="A1264" s="17" t="s">
        <v>3921</v>
      </c>
      <c r="B1264" s="17" t="s">
        <v>45</v>
      </c>
      <c r="C1264" s="17">
        <v>2025</v>
      </c>
      <c r="D1264" s="17" t="str">
        <f t="array" ref="D1264">_xlfn.SWITCH(E1264,"Jatikalen","35.18.20","Kertosono", "35.18.08","Lengkong","35.18.19","Loceret","35.18.04","Tanjunganom","35.18.11","Wilangan","35.18.15")</f>
        <v>35.18.04</v>
      </c>
      <c r="E1264" s="16" t="s">
        <v>41</v>
      </c>
      <c r="F1264" s="17" t="s">
        <v>2794</v>
      </c>
      <c r="G1264" s="17" t="s">
        <v>2795</v>
      </c>
      <c r="H1264" s="101" t="s">
        <v>31</v>
      </c>
      <c r="I1264" s="94">
        <v>1</v>
      </c>
      <c r="J1264" s="94">
        <v>2</v>
      </c>
      <c r="K1264" s="94">
        <f t="shared" si="38"/>
        <v>3</v>
      </c>
      <c r="L1264" s="95">
        <v>3000000</v>
      </c>
      <c r="M1264" s="17" t="s">
        <v>2796</v>
      </c>
      <c r="N1264" s="95"/>
      <c r="O1264" s="94"/>
      <c r="P1264" s="97"/>
      <c r="Q1264" s="96" t="s">
        <v>1655</v>
      </c>
      <c r="R1264" s="98"/>
      <c r="S1264" s="94"/>
      <c r="T1264" s="97"/>
      <c r="U1264" s="94" t="s">
        <v>22</v>
      </c>
      <c r="V1264" s="94"/>
      <c r="W1264" s="94"/>
      <c r="X1264" s="94"/>
      <c r="Y1264" s="94"/>
      <c r="Z1264" s="94"/>
      <c r="AA1264" s="94"/>
      <c r="AB1264" s="94"/>
      <c r="AC1264" s="94"/>
    </row>
    <row r="1265" spans="1:32" ht="20" x14ac:dyDescent="0.2">
      <c r="A1265" s="17" t="s">
        <v>3921</v>
      </c>
      <c r="B1265" s="17" t="s">
        <v>45</v>
      </c>
      <c r="C1265" s="17">
        <v>2025</v>
      </c>
      <c r="D1265" s="17" t="str">
        <f t="array" ref="D1265">_xlfn.SWITCH(E1265,"Bagor","35.18.14","Sukomoro",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65" s="16" t="s">
        <v>188</v>
      </c>
      <c r="F1265" s="17" t="s">
        <v>2797</v>
      </c>
      <c r="G1265" s="17" t="s">
        <v>2798</v>
      </c>
      <c r="H1265" s="101" t="s">
        <v>31</v>
      </c>
      <c r="I1265" s="94">
        <v>2</v>
      </c>
      <c r="J1265" s="94">
        <v>2</v>
      </c>
      <c r="K1265" s="94">
        <f t="shared" si="38"/>
        <v>4</v>
      </c>
      <c r="L1265" s="98">
        <v>5000000</v>
      </c>
      <c r="M1265" s="17" t="s">
        <v>2698</v>
      </c>
      <c r="N1265" s="95">
        <v>5000</v>
      </c>
      <c r="O1265" s="94" t="s">
        <v>49</v>
      </c>
      <c r="P1265" s="97">
        <f>N1265*2500</f>
        <v>12500000</v>
      </c>
      <c r="Q1265" s="96" t="s">
        <v>159</v>
      </c>
      <c r="R1265" s="98">
        <v>100</v>
      </c>
      <c r="S1265" s="94" t="s">
        <v>422</v>
      </c>
      <c r="T1265" s="97">
        <f>R1265*15000</f>
        <v>1500000</v>
      </c>
      <c r="U1265" s="94" t="s">
        <v>22</v>
      </c>
      <c r="V1265" s="94"/>
      <c r="W1265" s="94"/>
      <c r="X1265" s="94"/>
      <c r="Y1265" s="94">
        <v>100</v>
      </c>
      <c r="Z1265" s="94">
        <v>0</v>
      </c>
      <c r="AA1265" s="94">
        <v>0</v>
      </c>
      <c r="AB1265" s="94">
        <v>0</v>
      </c>
      <c r="AC1265" s="94"/>
    </row>
    <row r="1266" spans="1:32" ht="20" x14ac:dyDescent="0.2">
      <c r="A1266" s="17" t="s">
        <v>3921</v>
      </c>
      <c r="B1266" s="17" t="s">
        <v>45</v>
      </c>
      <c r="C1266" s="17">
        <v>2025</v>
      </c>
      <c r="D1266" s="17" t="str">
        <f t="array" ref="D1266">_xlfn.SWITCH(E1266,"Jatikalen","35.18.20","Kertosono", "35.18.08","Lengkong","35.18.19","Loceret","35.18.04","Tanjunganom","35.18.11","Wilangan","35.18.15")</f>
        <v>35.18.08</v>
      </c>
      <c r="E1266" s="16" t="s">
        <v>128</v>
      </c>
      <c r="F1266" s="17" t="s">
        <v>2799</v>
      </c>
      <c r="G1266" s="17" t="s">
        <v>2800</v>
      </c>
      <c r="H1266" s="101" t="s">
        <v>31</v>
      </c>
      <c r="I1266" s="94">
        <v>2</v>
      </c>
      <c r="J1266" s="94">
        <v>4</v>
      </c>
      <c r="K1266" s="94">
        <f t="shared" si="38"/>
        <v>6</v>
      </c>
      <c r="L1266" s="98">
        <v>5000000</v>
      </c>
      <c r="M1266" s="17" t="s">
        <v>2698</v>
      </c>
      <c r="N1266" s="95">
        <v>5000</v>
      </c>
      <c r="O1266" s="94" t="s">
        <v>49</v>
      </c>
      <c r="P1266" s="97">
        <f>N1266*2500</f>
        <v>12500000</v>
      </c>
      <c r="Q1266" s="96" t="s">
        <v>159</v>
      </c>
      <c r="R1266" s="98">
        <v>100</v>
      </c>
      <c r="S1266" s="94" t="s">
        <v>422</v>
      </c>
      <c r="T1266" s="97">
        <f>R1266*15000</f>
        <v>1500000</v>
      </c>
      <c r="U1266" s="94" t="s">
        <v>22</v>
      </c>
      <c r="V1266" s="94"/>
      <c r="W1266" s="94"/>
      <c r="X1266" s="94"/>
      <c r="Y1266" s="94">
        <v>100</v>
      </c>
      <c r="Z1266" s="94">
        <v>0</v>
      </c>
      <c r="AA1266" s="94">
        <v>0</v>
      </c>
      <c r="AB1266" s="94">
        <v>0</v>
      </c>
      <c r="AC1266" s="94"/>
    </row>
    <row r="1267" spans="1:32" x14ac:dyDescent="0.2">
      <c r="A1267" s="17" t="s">
        <v>3921</v>
      </c>
      <c r="B1267" s="17" t="s">
        <v>45</v>
      </c>
      <c r="C1267" s="17">
        <v>2025</v>
      </c>
      <c r="D1267" s="17" t="str">
        <f t="array" ref="D1267">_xlfn.SWITCH(E1267,"Bagor","35.18.14","Sukomoro",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267" s="16" t="s">
        <v>157</v>
      </c>
      <c r="F1267" s="17" t="s">
        <v>2801</v>
      </c>
      <c r="G1267" s="17" t="s">
        <v>2802</v>
      </c>
      <c r="H1267" s="101" t="s">
        <v>31</v>
      </c>
      <c r="I1267" s="94">
        <v>2</v>
      </c>
      <c r="J1267" s="94">
        <v>3</v>
      </c>
      <c r="K1267" s="94">
        <f t="shared" si="38"/>
        <v>5</v>
      </c>
      <c r="L1267" s="95">
        <v>20000000</v>
      </c>
      <c r="M1267" s="17" t="s">
        <v>2803</v>
      </c>
      <c r="N1267" s="95">
        <v>5000</v>
      </c>
      <c r="O1267" s="94" t="s">
        <v>35</v>
      </c>
      <c r="P1267" s="97">
        <v>15000000</v>
      </c>
      <c r="Q1267" s="96" t="s">
        <v>2804</v>
      </c>
      <c r="R1267" s="98">
        <v>7500</v>
      </c>
      <c r="S1267" s="94" t="s">
        <v>422</v>
      </c>
      <c r="T1267" s="97">
        <v>10000000</v>
      </c>
      <c r="U1267" s="94" t="s">
        <v>22</v>
      </c>
      <c r="V1267" s="94"/>
      <c r="W1267" s="94"/>
      <c r="X1267" s="94"/>
      <c r="Y1267" s="94">
        <v>100</v>
      </c>
      <c r="Z1267" s="94">
        <v>0</v>
      </c>
      <c r="AA1267" s="94">
        <v>0</v>
      </c>
      <c r="AB1267" s="94">
        <v>0</v>
      </c>
      <c r="AC1267" s="94"/>
    </row>
    <row r="1268" spans="1:32" ht="20" x14ac:dyDescent="0.2">
      <c r="A1268" s="17" t="s">
        <v>3921</v>
      </c>
      <c r="B1268" s="17" t="s">
        <v>45</v>
      </c>
      <c r="C1268" s="17">
        <v>2025</v>
      </c>
      <c r="D1268" s="17" t="str">
        <f t="array" ref="D1268">_xlfn.SWITCH(E1268,"Bagor","35.18.14","Sukomoro",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268" s="16" t="s">
        <v>114</v>
      </c>
      <c r="F1268" s="17" t="s">
        <v>2805</v>
      </c>
      <c r="G1268" s="17" t="s">
        <v>2806</v>
      </c>
      <c r="H1268" s="101" t="s">
        <v>31</v>
      </c>
      <c r="I1268" s="94">
        <v>7</v>
      </c>
      <c r="J1268" s="94">
        <v>0</v>
      </c>
      <c r="K1268" s="94">
        <f t="shared" si="38"/>
        <v>7</v>
      </c>
      <c r="L1268" s="95">
        <v>5000000</v>
      </c>
      <c r="M1268" s="17" t="s">
        <v>2733</v>
      </c>
      <c r="N1268" s="95">
        <v>750</v>
      </c>
      <c r="O1268" s="16" t="s">
        <v>422</v>
      </c>
      <c r="P1268" s="97">
        <v>18000000</v>
      </c>
      <c r="Q1268" s="96" t="s">
        <v>1553</v>
      </c>
      <c r="R1268" s="98">
        <v>500</v>
      </c>
      <c r="S1268" s="94" t="s">
        <v>422</v>
      </c>
      <c r="T1268" s="97">
        <v>14000000</v>
      </c>
      <c r="U1268" s="94" t="s">
        <v>22</v>
      </c>
      <c r="V1268" s="94"/>
      <c r="W1268" s="94"/>
      <c r="X1268" s="94"/>
      <c r="Y1268" s="94"/>
      <c r="Z1268" s="94"/>
      <c r="AA1268" s="94"/>
      <c r="AB1268" s="119"/>
      <c r="AC1268" s="119"/>
    </row>
    <row r="1269" spans="1:32" ht="20" x14ac:dyDescent="0.2">
      <c r="A1269" s="17" t="s">
        <v>3921</v>
      </c>
      <c r="B1269" s="17" t="s">
        <v>45</v>
      </c>
      <c r="C1269" s="17">
        <v>2025</v>
      </c>
      <c r="D1269" s="17" t="str">
        <f t="array" ref="D1269">_xlfn.SWITCH(E1269,"Bagor","35.18.14","Sukomoro",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1269" s="16" t="s">
        <v>55</v>
      </c>
      <c r="F1269" s="17" t="s">
        <v>2807</v>
      </c>
      <c r="G1269" s="17" t="s">
        <v>2808</v>
      </c>
      <c r="H1269" s="101" t="s">
        <v>31</v>
      </c>
      <c r="I1269" s="94">
        <v>8</v>
      </c>
      <c r="J1269" s="94">
        <v>1</v>
      </c>
      <c r="K1269" s="94">
        <f t="shared" si="38"/>
        <v>9</v>
      </c>
      <c r="L1269" s="95">
        <v>3000000</v>
      </c>
      <c r="M1269" s="17" t="s">
        <v>2747</v>
      </c>
      <c r="N1269" s="95">
        <v>200</v>
      </c>
      <c r="O1269" s="94" t="s">
        <v>35</v>
      </c>
      <c r="P1269" s="97">
        <f>N1269*55000</f>
        <v>11000000</v>
      </c>
      <c r="Q1269" s="96" t="s">
        <v>2657</v>
      </c>
      <c r="R1269" s="98">
        <v>1000</v>
      </c>
      <c r="S1269" s="94" t="s">
        <v>422</v>
      </c>
      <c r="T1269" s="97">
        <f>R1269*4000</f>
        <v>4000000</v>
      </c>
      <c r="U1269" s="94" t="s">
        <v>22</v>
      </c>
      <c r="V1269" s="94"/>
      <c r="W1269" s="94"/>
      <c r="X1269" s="94"/>
      <c r="Y1269" s="94">
        <v>90</v>
      </c>
      <c r="Z1269" s="94">
        <v>10</v>
      </c>
      <c r="AA1269" s="94">
        <v>0</v>
      </c>
      <c r="AB1269" s="94">
        <v>0</v>
      </c>
      <c r="AC1269" s="94"/>
    </row>
    <row r="1270" spans="1:32" ht="20" x14ac:dyDescent="0.2">
      <c r="A1270" s="17" t="s">
        <v>3921</v>
      </c>
      <c r="B1270" s="17" t="s">
        <v>45</v>
      </c>
      <c r="C1270" s="17">
        <v>2025</v>
      </c>
      <c r="D1270" s="17" t="str">
        <f t="array" ref="D1270">_xlfn.SWITCH(E1270,"Bagor","35.18.14","Sukomoro",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70" s="16" t="s">
        <v>45</v>
      </c>
      <c r="F1270" s="17" t="s">
        <v>2809</v>
      </c>
      <c r="G1270" s="17" t="s">
        <v>2810</v>
      </c>
      <c r="H1270" s="101" t="s">
        <v>31</v>
      </c>
      <c r="I1270" s="94">
        <v>2</v>
      </c>
      <c r="J1270" s="94">
        <v>0</v>
      </c>
      <c r="K1270" s="94">
        <f t="shared" si="38"/>
        <v>2</v>
      </c>
      <c r="L1270" s="98">
        <v>5000000</v>
      </c>
      <c r="M1270" s="17" t="s">
        <v>2698</v>
      </c>
      <c r="N1270" s="95">
        <v>5000</v>
      </c>
      <c r="O1270" s="94" t="s">
        <v>49</v>
      </c>
      <c r="P1270" s="97">
        <f>N1270*2500</f>
        <v>12500000</v>
      </c>
      <c r="Q1270" s="96" t="s">
        <v>159</v>
      </c>
      <c r="R1270" s="98">
        <v>100</v>
      </c>
      <c r="S1270" s="94" t="s">
        <v>422</v>
      </c>
      <c r="T1270" s="97">
        <f>R1270*15000</f>
        <v>1500000</v>
      </c>
      <c r="U1270" s="94" t="s">
        <v>22</v>
      </c>
      <c r="V1270" s="94"/>
      <c r="W1270" s="94"/>
      <c r="X1270" s="94"/>
      <c r="Y1270" s="94">
        <v>100</v>
      </c>
      <c r="Z1270" s="94">
        <v>0</v>
      </c>
      <c r="AA1270" s="94">
        <v>0</v>
      </c>
      <c r="AB1270" s="94">
        <v>0</v>
      </c>
      <c r="AC1270" s="94"/>
    </row>
    <row r="1271" spans="1:32" ht="20" x14ac:dyDescent="0.2">
      <c r="A1271" s="17" t="s">
        <v>3921</v>
      </c>
      <c r="B1271" s="17" t="s">
        <v>45</v>
      </c>
      <c r="C1271" s="17">
        <v>2025</v>
      </c>
      <c r="D1271" s="17" t="str">
        <f t="array" ref="D1271">_xlfn.SWITCH(E1271,"Bagor","35.18.14","Sukomoro",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71" s="16" t="s">
        <v>124</v>
      </c>
      <c r="F1271" s="17" t="s">
        <v>2811</v>
      </c>
      <c r="G1271" s="17" t="s">
        <v>2812</v>
      </c>
      <c r="H1271" s="101" t="s">
        <v>31</v>
      </c>
      <c r="I1271" s="94">
        <v>1</v>
      </c>
      <c r="J1271" s="94">
        <v>0</v>
      </c>
      <c r="K1271" s="94">
        <f t="shared" si="38"/>
        <v>1</v>
      </c>
      <c r="L1271" s="95">
        <v>2500000</v>
      </c>
      <c r="M1271" s="17" t="s">
        <v>2520</v>
      </c>
      <c r="N1271" s="95"/>
      <c r="O1271" s="94"/>
      <c r="P1271" s="97"/>
      <c r="Q1271" s="96" t="s">
        <v>173</v>
      </c>
      <c r="R1271" s="98"/>
      <c r="S1271" s="94"/>
      <c r="T1271" s="97"/>
      <c r="U1271" s="94" t="s">
        <v>22</v>
      </c>
      <c r="V1271" s="94"/>
      <c r="W1271" s="94"/>
      <c r="X1271" s="94"/>
      <c r="Y1271" s="94"/>
      <c r="Z1271" s="94"/>
      <c r="AA1271" s="94"/>
      <c r="AB1271" s="94"/>
      <c r="AC1271" s="94"/>
    </row>
    <row r="1272" spans="1:32" ht="20" x14ac:dyDescent="0.2">
      <c r="A1272" s="17" t="s">
        <v>3921</v>
      </c>
      <c r="B1272" s="17" t="s">
        <v>45</v>
      </c>
      <c r="C1272" s="17">
        <v>2025</v>
      </c>
      <c r="D1272" s="17" t="str">
        <f t="array" ref="D1272">_xlfn.SWITCH(E1272,"Bagor","35.18.14","Sukomoro",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72" s="16" t="s">
        <v>45</v>
      </c>
      <c r="F1272" s="17" t="s">
        <v>2813</v>
      </c>
      <c r="G1272" s="17" t="s">
        <v>2814</v>
      </c>
      <c r="H1272" s="101" t="s">
        <v>31</v>
      </c>
      <c r="I1272" s="94">
        <v>2</v>
      </c>
      <c r="J1272" s="94">
        <v>0</v>
      </c>
      <c r="K1272" s="94">
        <f t="shared" si="38"/>
        <v>2</v>
      </c>
      <c r="L1272" s="95">
        <v>5000000</v>
      </c>
      <c r="M1272" s="17" t="s">
        <v>2733</v>
      </c>
      <c r="N1272" s="95">
        <v>750</v>
      </c>
      <c r="O1272" s="16" t="s">
        <v>422</v>
      </c>
      <c r="P1272" s="97">
        <v>18000000</v>
      </c>
      <c r="Q1272" s="96" t="s">
        <v>1553</v>
      </c>
      <c r="R1272" s="98">
        <v>500</v>
      </c>
      <c r="S1272" s="94" t="s">
        <v>422</v>
      </c>
      <c r="T1272" s="97">
        <v>14000000</v>
      </c>
      <c r="U1272" s="94" t="s">
        <v>22</v>
      </c>
      <c r="V1272" s="94"/>
      <c r="W1272" s="94"/>
      <c r="X1272" s="94"/>
      <c r="Y1272" s="94"/>
      <c r="Z1272" s="94"/>
      <c r="AA1272" s="94"/>
      <c r="AB1272" s="119"/>
      <c r="AC1272" s="119"/>
    </row>
    <row r="1273" spans="1:32" ht="20" x14ac:dyDescent="0.2">
      <c r="A1273" s="17" t="s">
        <v>3921</v>
      </c>
      <c r="B1273" s="17" t="s">
        <v>45</v>
      </c>
      <c r="C1273" s="17">
        <v>2025</v>
      </c>
      <c r="D1273" s="17" t="str">
        <f t="array" ref="D1273">_xlfn.SWITCH(E1273,"Jatikalen","35.18.20","Kertosono", "35.18.08","Lengkong","35.18.19","Loceret","35.18.04","Tanjunganom","35.18.11","Wilangan","35.18.15")</f>
        <v>35.18.11</v>
      </c>
      <c r="E1273" s="16" t="s">
        <v>60</v>
      </c>
      <c r="F1273" s="17" t="s">
        <v>2815</v>
      </c>
      <c r="G1273" s="17" t="s">
        <v>2816</v>
      </c>
      <c r="H1273" s="101" t="s">
        <v>31</v>
      </c>
      <c r="I1273" s="94">
        <v>1</v>
      </c>
      <c r="J1273" s="94">
        <v>1</v>
      </c>
      <c r="K1273" s="94">
        <f t="shared" si="38"/>
        <v>2</v>
      </c>
      <c r="L1273" s="98">
        <v>5000000</v>
      </c>
      <c r="M1273" s="17" t="s">
        <v>2706</v>
      </c>
      <c r="N1273" s="95">
        <v>250</v>
      </c>
      <c r="O1273" s="94" t="s">
        <v>35</v>
      </c>
      <c r="P1273" s="97">
        <f>N1273*60000</f>
        <v>15000000</v>
      </c>
      <c r="Q1273" s="96" t="s">
        <v>2707</v>
      </c>
      <c r="R1273" s="98">
        <v>400</v>
      </c>
      <c r="S1273" s="94" t="s">
        <v>422</v>
      </c>
      <c r="T1273" s="97">
        <f>R1273*25000</f>
        <v>10000000</v>
      </c>
      <c r="U1273" s="94" t="s">
        <v>22</v>
      </c>
      <c r="V1273" s="94"/>
      <c r="W1273" s="94"/>
      <c r="X1273" s="94"/>
      <c r="Y1273" s="94">
        <v>80</v>
      </c>
      <c r="Z1273" s="94">
        <v>20</v>
      </c>
      <c r="AA1273" s="94">
        <v>0</v>
      </c>
      <c r="AB1273" s="94">
        <v>0</v>
      </c>
      <c r="AC1273" s="94"/>
    </row>
    <row r="1274" spans="1:32" ht="20" x14ac:dyDescent="0.2">
      <c r="A1274" s="17" t="s">
        <v>3921</v>
      </c>
      <c r="B1274" s="17" t="s">
        <v>45</v>
      </c>
      <c r="C1274" s="17">
        <v>2025</v>
      </c>
      <c r="D1274" s="17" t="str">
        <f t="array" ref="D1274">_xlfn.SWITCH(E1274,"Jatikalen","35.18.20","Kertosono", "35.18.08","Lengkong","35.18.19","Loceret","35.18.04","Tanjunganom","35.18.11","Wilangan","35.18.15")</f>
        <v>35.18.08</v>
      </c>
      <c r="E1274" s="16" t="s">
        <v>128</v>
      </c>
      <c r="F1274" s="17" t="s">
        <v>2817</v>
      </c>
      <c r="G1274" s="17" t="s">
        <v>2818</v>
      </c>
      <c r="H1274" s="101" t="s">
        <v>31</v>
      </c>
      <c r="I1274" s="94">
        <v>1</v>
      </c>
      <c r="J1274" s="94">
        <v>1</v>
      </c>
      <c r="K1274" s="94">
        <f t="shared" si="38"/>
        <v>2</v>
      </c>
      <c r="L1274" s="95">
        <v>3000000</v>
      </c>
      <c r="M1274" s="17" t="s">
        <v>2819</v>
      </c>
      <c r="N1274" s="95"/>
      <c r="O1274" s="94"/>
      <c r="P1274" s="97"/>
      <c r="Q1274" s="96"/>
      <c r="R1274" s="98"/>
      <c r="S1274" s="94"/>
      <c r="T1274" s="97"/>
      <c r="U1274" s="94" t="s">
        <v>22</v>
      </c>
      <c r="V1274" s="94"/>
      <c r="W1274" s="94"/>
      <c r="X1274" s="94"/>
      <c r="Y1274" s="94"/>
      <c r="Z1274" s="94"/>
      <c r="AA1274" s="94"/>
      <c r="AB1274" s="94"/>
      <c r="AC1274" s="94"/>
    </row>
    <row r="1275" spans="1:32" ht="20" x14ac:dyDescent="0.2">
      <c r="A1275" s="17" t="s">
        <v>3921</v>
      </c>
      <c r="B1275" s="17" t="s">
        <v>45</v>
      </c>
      <c r="C1275" s="17">
        <v>2025</v>
      </c>
      <c r="D1275" s="17" t="str">
        <f t="array" ref="D1275">_xlfn.SWITCH(E1275,"Bagor","35.18.14","Sukomoro",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75" s="16" t="s">
        <v>45</v>
      </c>
      <c r="F1275" s="17" t="s">
        <v>2820</v>
      </c>
      <c r="G1275" s="17" t="s">
        <v>2821</v>
      </c>
      <c r="H1275" s="101" t="s">
        <v>31</v>
      </c>
      <c r="I1275" s="94">
        <v>2</v>
      </c>
      <c r="J1275" s="94">
        <v>2</v>
      </c>
      <c r="K1275" s="94">
        <f t="shared" si="38"/>
        <v>4</v>
      </c>
      <c r="L1275" s="98">
        <v>5000000</v>
      </c>
      <c r="M1275" s="17" t="s">
        <v>2698</v>
      </c>
      <c r="N1275" s="95">
        <v>5000</v>
      </c>
      <c r="O1275" s="94" t="s">
        <v>49</v>
      </c>
      <c r="P1275" s="97">
        <f>N1275*2500</f>
        <v>12500000</v>
      </c>
      <c r="Q1275" s="96" t="s">
        <v>159</v>
      </c>
      <c r="R1275" s="98">
        <v>100</v>
      </c>
      <c r="S1275" s="94" t="s">
        <v>422</v>
      </c>
      <c r="T1275" s="97">
        <f>R1275*15000</f>
        <v>1500000</v>
      </c>
      <c r="U1275" s="94" t="s">
        <v>22</v>
      </c>
      <c r="V1275" s="94"/>
      <c r="W1275" s="94"/>
      <c r="X1275" s="94"/>
      <c r="Y1275" s="94">
        <v>100</v>
      </c>
      <c r="Z1275" s="94">
        <v>0</v>
      </c>
      <c r="AA1275" s="94">
        <v>0</v>
      </c>
      <c r="AB1275" s="94">
        <v>0</v>
      </c>
      <c r="AC1275" s="94"/>
    </row>
    <row r="1276" spans="1:32" ht="20" x14ac:dyDescent="0.2">
      <c r="A1276" s="17" t="s">
        <v>3921</v>
      </c>
      <c r="B1276" s="17" t="s">
        <v>45</v>
      </c>
      <c r="C1276" s="17">
        <v>2025</v>
      </c>
      <c r="D1276" s="17" t="str">
        <f t="array" ref="D1276">_xlfn.SWITCH(E1276,"Jatikalen","35.18.20","Kertosono", "35.18.08","Lengkong","35.18.19","Loceret","35.18.04","Tanjunganom","35.18.11","Wilangan","35.18.15")</f>
        <v>35.18.04</v>
      </c>
      <c r="E1276" s="16" t="s">
        <v>41</v>
      </c>
      <c r="F1276" s="17" t="s">
        <v>2822</v>
      </c>
      <c r="G1276" s="17" t="s">
        <v>2823</v>
      </c>
      <c r="H1276" s="101" t="s">
        <v>31</v>
      </c>
      <c r="I1276" s="94">
        <v>2</v>
      </c>
      <c r="J1276" s="94">
        <v>2</v>
      </c>
      <c r="K1276" s="94">
        <f t="shared" si="38"/>
        <v>4</v>
      </c>
      <c r="L1276" s="95">
        <v>5000000</v>
      </c>
      <c r="M1276" s="17" t="s">
        <v>2824</v>
      </c>
      <c r="N1276" s="95"/>
      <c r="O1276" s="94"/>
      <c r="P1276" s="97"/>
      <c r="Q1276" s="96"/>
      <c r="R1276" s="98"/>
      <c r="S1276" s="94"/>
      <c r="T1276" s="97"/>
      <c r="U1276" s="94" t="s">
        <v>22</v>
      </c>
      <c r="V1276" s="94"/>
      <c r="W1276" s="94"/>
      <c r="X1276" s="94"/>
      <c r="Y1276" s="94"/>
      <c r="Z1276" s="94"/>
      <c r="AA1276" s="94"/>
      <c r="AB1276" s="94"/>
      <c r="AC1276" s="94"/>
    </row>
    <row r="1277" spans="1:32" x14ac:dyDescent="0.2">
      <c r="A1277" s="17" t="s">
        <v>3921</v>
      </c>
      <c r="B1277" s="17" t="s">
        <v>45</v>
      </c>
      <c r="C1277" s="17">
        <v>2025</v>
      </c>
      <c r="D1277" s="17" t="str">
        <f t="array" ref="D1277">_xlfn.SWITCH(E1277,"Jatikalen","35.18.20","Kertosono", "35.18.08","Lengkong","35.18.19","Loceret","35.18.04","Tanjunganom","35.18.11","Wilangan","35.18.15")</f>
        <v>35.18.11</v>
      </c>
      <c r="E1277" s="16" t="s">
        <v>60</v>
      </c>
      <c r="F1277" s="17" t="s">
        <v>2825</v>
      </c>
      <c r="G1277" s="17" t="s">
        <v>2826</v>
      </c>
      <c r="H1277" s="101" t="s">
        <v>31</v>
      </c>
      <c r="I1277" s="94">
        <v>2</v>
      </c>
      <c r="J1277" s="94">
        <v>1</v>
      </c>
      <c r="K1277" s="94">
        <f t="shared" si="38"/>
        <v>3</v>
      </c>
      <c r="L1277" s="98">
        <v>5000000</v>
      </c>
      <c r="M1277" s="17" t="s">
        <v>2698</v>
      </c>
      <c r="N1277" s="95">
        <v>5000</v>
      </c>
      <c r="O1277" s="94" t="s">
        <v>49</v>
      </c>
      <c r="P1277" s="97">
        <f>N1277*2500</f>
        <v>12500000</v>
      </c>
      <c r="Q1277" s="96" t="s">
        <v>159</v>
      </c>
      <c r="R1277" s="98">
        <v>100</v>
      </c>
      <c r="S1277" s="94" t="s">
        <v>422</v>
      </c>
      <c r="T1277" s="97">
        <f>R1277*15000</f>
        <v>1500000</v>
      </c>
      <c r="U1277" s="94" t="s">
        <v>22</v>
      </c>
      <c r="V1277" s="94"/>
      <c r="W1277" s="94"/>
      <c r="X1277" s="94"/>
      <c r="Y1277" s="94">
        <v>100</v>
      </c>
      <c r="Z1277" s="94">
        <v>0</v>
      </c>
      <c r="AA1277" s="94">
        <v>0</v>
      </c>
      <c r="AB1277" s="94">
        <v>0</v>
      </c>
      <c r="AC1277" s="94"/>
    </row>
    <row r="1278" spans="1:32" ht="20" x14ac:dyDescent="0.2">
      <c r="A1278" s="17" t="s">
        <v>3921</v>
      </c>
      <c r="B1278" s="17" t="s">
        <v>45</v>
      </c>
      <c r="C1278" s="17">
        <v>2025</v>
      </c>
      <c r="D1278" s="17" t="str">
        <f t="array" ref="D1278">_xlfn.SWITCH(E1278,"Jatikalen","35.18.20","Kertosono", "35.18.08","Lengkong","35.18.19","Loceret","35.18.04","Tanjunganom","35.18.11","Wilangan","35.18.15")</f>
        <v>35.18.19</v>
      </c>
      <c r="E1278" s="16" t="s">
        <v>64</v>
      </c>
      <c r="F1278" s="17" t="s">
        <v>2827</v>
      </c>
      <c r="G1278" s="17" t="s">
        <v>2828</v>
      </c>
      <c r="H1278" s="101" t="s">
        <v>31</v>
      </c>
      <c r="I1278" s="94">
        <v>1</v>
      </c>
      <c r="J1278" s="94">
        <v>2</v>
      </c>
      <c r="K1278" s="94">
        <f t="shared" si="38"/>
        <v>3</v>
      </c>
      <c r="L1278" s="95">
        <v>3000000</v>
      </c>
      <c r="M1278" s="17" t="s">
        <v>2747</v>
      </c>
      <c r="N1278" s="95">
        <v>200</v>
      </c>
      <c r="O1278" s="94" t="s">
        <v>35</v>
      </c>
      <c r="P1278" s="97">
        <f>N1278*55000</f>
        <v>11000000</v>
      </c>
      <c r="Q1278" s="96" t="s">
        <v>2657</v>
      </c>
      <c r="R1278" s="98">
        <v>1000</v>
      </c>
      <c r="S1278" s="94" t="s">
        <v>422</v>
      </c>
      <c r="T1278" s="97">
        <f>R1278*4000</f>
        <v>4000000</v>
      </c>
      <c r="U1278" s="94" t="s">
        <v>22</v>
      </c>
      <c r="V1278" s="94"/>
      <c r="W1278" s="94"/>
      <c r="X1278" s="94"/>
      <c r="Y1278" s="94">
        <v>90</v>
      </c>
      <c r="Z1278" s="94">
        <v>10</v>
      </c>
      <c r="AA1278" s="94">
        <v>0</v>
      </c>
      <c r="AB1278" s="94">
        <v>0</v>
      </c>
      <c r="AC1278" s="94"/>
    </row>
    <row r="1279" spans="1:32" s="137" customFormat="1" ht="20" x14ac:dyDescent="0.35">
      <c r="A1279" s="17" t="s">
        <v>3921</v>
      </c>
      <c r="B1279" s="17" t="s">
        <v>45</v>
      </c>
      <c r="C1279" s="17">
        <v>2025</v>
      </c>
      <c r="D1279" s="17" t="str">
        <f t="array" ref="D1279">_xlfn.SWITCH(E1279,"Jatikalen","35.18.20","Kertosono", "35.18.08","Lengkong","35.18.19","Loceret","35.18.04","Tanjunganom","35.18.11","Wilangan","35.18.15")</f>
        <v>35.18.04</v>
      </c>
      <c r="E1279" s="124" t="s">
        <v>41</v>
      </c>
      <c r="F1279" s="125" t="s">
        <v>2829</v>
      </c>
      <c r="G1279" s="125" t="s">
        <v>2830</v>
      </c>
      <c r="H1279" s="126" t="s">
        <v>31</v>
      </c>
      <c r="I1279" s="124">
        <v>2</v>
      </c>
      <c r="J1279" s="124">
        <v>0</v>
      </c>
      <c r="K1279" s="124">
        <f t="shared" si="38"/>
        <v>2</v>
      </c>
      <c r="L1279" s="127">
        <v>3000000</v>
      </c>
      <c r="M1279" s="128" t="s">
        <v>2464</v>
      </c>
      <c r="N1279" s="129">
        <f>K1279*10*30</f>
        <v>600</v>
      </c>
      <c r="O1279" s="130" t="s">
        <v>1049</v>
      </c>
      <c r="P1279" s="131">
        <f>N1279*5000</f>
        <v>3000000</v>
      </c>
      <c r="Q1279" s="132" t="s">
        <v>2636</v>
      </c>
      <c r="R1279" s="127">
        <f>N1279/5</f>
        <v>120</v>
      </c>
      <c r="S1279" s="124" t="s">
        <v>422</v>
      </c>
      <c r="T1279" s="133">
        <f>R1279*10000</f>
        <v>1200000</v>
      </c>
      <c r="U1279" s="124" t="s">
        <v>22</v>
      </c>
      <c r="V1279" s="124"/>
      <c r="W1279" s="124"/>
      <c r="X1279" s="124"/>
      <c r="Y1279" s="124">
        <v>100</v>
      </c>
      <c r="Z1279" s="124"/>
      <c r="AA1279" s="124"/>
      <c r="AB1279" s="134"/>
      <c r="AC1279" s="135"/>
      <c r="AD1279" s="136"/>
      <c r="AF1279" s="138"/>
    </row>
    <row r="1280" spans="1:32" ht="20" x14ac:dyDescent="0.2">
      <c r="A1280" s="17" t="s">
        <v>3921</v>
      </c>
      <c r="B1280" s="17" t="s">
        <v>45</v>
      </c>
      <c r="C1280" s="17">
        <v>2025</v>
      </c>
      <c r="D1280" s="17" t="str">
        <f t="array" ref="D1280">_xlfn.SWITCH(E1280,"Bagor","35.18.14","Sukomoro",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80" s="16" t="s">
        <v>124</v>
      </c>
      <c r="F1280" s="17" t="s">
        <v>2831</v>
      </c>
      <c r="G1280" s="17" t="s">
        <v>2832</v>
      </c>
      <c r="H1280" s="101" t="s">
        <v>31</v>
      </c>
      <c r="I1280" s="94">
        <v>2</v>
      </c>
      <c r="J1280" s="94">
        <v>0</v>
      </c>
      <c r="K1280" s="94">
        <f t="shared" si="38"/>
        <v>2</v>
      </c>
      <c r="L1280" s="95">
        <v>3000000</v>
      </c>
      <c r="M1280" s="17" t="s">
        <v>2747</v>
      </c>
      <c r="N1280" s="95">
        <v>200</v>
      </c>
      <c r="O1280" s="94" t="s">
        <v>35</v>
      </c>
      <c r="P1280" s="97">
        <f>N1280*55000</f>
        <v>11000000</v>
      </c>
      <c r="Q1280" s="96" t="s">
        <v>2657</v>
      </c>
      <c r="R1280" s="98">
        <v>1000</v>
      </c>
      <c r="S1280" s="94" t="s">
        <v>422</v>
      </c>
      <c r="T1280" s="97">
        <f>R1280*4000</f>
        <v>4000000</v>
      </c>
      <c r="U1280" s="94" t="s">
        <v>22</v>
      </c>
      <c r="V1280" s="94"/>
      <c r="W1280" s="94"/>
      <c r="X1280" s="94"/>
      <c r="Y1280" s="94">
        <v>90</v>
      </c>
      <c r="Z1280" s="94">
        <v>10</v>
      </c>
      <c r="AA1280" s="94">
        <v>0</v>
      </c>
      <c r="AB1280" s="94">
        <v>0</v>
      </c>
      <c r="AC1280" s="94"/>
    </row>
    <row r="1281" spans="1:84" ht="20" x14ac:dyDescent="0.2">
      <c r="A1281" s="17" t="s">
        <v>3921</v>
      </c>
      <c r="B1281" s="17" t="s">
        <v>45</v>
      </c>
      <c r="C1281" s="17">
        <v>2025</v>
      </c>
      <c r="D1281" s="17" t="str">
        <f t="array" ref="D1281">_xlfn.SWITCH(E1281,"Bagor","35.18.14","Sukomoro",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81" s="16" t="s">
        <v>162</v>
      </c>
      <c r="F1281" s="17" t="s">
        <v>2833</v>
      </c>
      <c r="G1281" s="17" t="s">
        <v>2834</v>
      </c>
      <c r="H1281" s="101" t="s">
        <v>31</v>
      </c>
      <c r="I1281" s="94">
        <v>2</v>
      </c>
      <c r="J1281" s="94">
        <v>0</v>
      </c>
      <c r="K1281" s="94">
        <f t="shared" si="38"/>
        <v>2</v>
      </c>
      <c r="L1281" s="95">
        <v>3000000</v>
      </c>
      <c r="M1281" s="17" t="s">
        <v>2747</v>
      </c>
      <c r="N1281" s="95">
        <v>200</v>
      </c>
      <c r="O1281" s="94" t="s">
        <v>35</v>
      </c>
      <c r="P1281" s="97">
        <f>N1281*55000</f>
        <v>11000000</v>
      </c>
      <c r="Q1281" s="96" t="s">
        <v>2657</v>
      </c>
      <c r="R1281" s="98">
        <v>1000</v>
      </c>
      <c r="S1281" s="94" t="s">
        <v>422</v>
      </c>
      <c r="T1281" s="97">
        <f>R1281*4000</f>
        <v>4000000</v>
      </c>
      <c r="U1281" s="94" t="s">
        <v>22</v>
      </c>
      <c r="V1281" s="94"/>
      <c r="W1281" s="94"/>
      <c r="X1281" s="94"/>
      <c r="Y1281" s="94">
        <v>90</v>
      </c>
      <c r="Z1281" s="94">
        <v>10</v>
      </c>
      <c r="AA1281" s="94">
        <v>0</v>
      </c>
      <c r="AB1281" s="94">
        <v>0</v>
      </c>
      <c r="AC1281" s="94"/>
    </row>
    <row r="1282" spans="1:84" ht="20" x14ac:dyDescent="0.2">
      <c r="A1282" s="17" t="s">
        <v>3921</v>
      </c>
      <c r="B1282" s="17" t="s">
        <v>45</v>
      </c>
      <c r="C1282" s="17">
        <v>2025</v>
      </c>
      <c r="D1282" s="17" t="str">
        <f t="array" ref="D1282">_xlfn.SWITCH(E1282,"Bagor","35.18.14","Sukomoro",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82" s="16" t="s">
        <v>2530</v>
      </c>
      <c r="F1282" s="17" t="s">
        <v>2835</v>
      </c>
      <c r="G1282" s="17" t="s">
        <v>2836</v>
      </c>
      <c r="H1282" s="101" t="s">
        <v>31</v>
      </c>
      <c r="I1282" s="94">
        <v>2</v>
      </c>
      <c r="J1282" s="94">
        <v>1</v>
      </c>
      <c r="K1282" s="94">
        <f t="shared" si="38"/>
        <v>3</v>
      </c>
      <c r="L1282" s="95">
        <v>3000000</v>
      </c>
      <c r="M1282" s="17" t="s">
        <v>2747</v>
      </c>
      <c r="N1282" s="95">
        <v>200</v>
      </c>
      <c r="O1282" s="94" t="s">
        <v>35</v>
      </c>
      <c r="P1282" s="97">
        <f>N1282*55000</f>
        <v>11000000</v>
      </c>
      <c r="Q1282" s="96" t="s">
        <v>2657</v>
      </c>
      <c r="R1282" s="98">
        <v>1000</v>
      </c>
      <c r="S1282" s="94" t="s">
        <v>422</v>
      </c>
      <c r="T1282" s="97">
        <f>R1282*4000</f>
        <v>4000000</v>
      </c>
      <c r="U1282" s="94" t="s">
        <v>22</v>
      </c>
      <c r="V1282" s="94"/>
      <c r="W1282" s="94"/>
      <c r="X1282" s="94"/>
      <c r="Y1282" s="94">
        <v>90</v>
      </c>
      <c r="Z1282" s="94">
        <v>10</v>
      </c>
      <c r="AA1282" s="94">
        <v>0</v>
      </c>
      <c r="AB1282" s="94">
        <v>0</v>
      </c>
      <c r="AC1282" s="94"/>
    </row>
    <row r="1283" spans="1:84" x14ac:dyDescent="0.2">
      <c r="A1283" s="17" t="s">
        <v>3921</v>
      </c>
      <c r="B1283" s="17" t="s">
        <v>45</v>
      </c>
      <c r="C1283" s="17">
        <v>2025</v>
      </c>
      <c r="D1283" s="17" t="str">
        <f t="array" ref="D1283">_xlfn.SWITCH(E1283,"Jatikalen","35.18.20","Kertosono", "35.18.08","Lengkong","35.18.19","Loceret","35.18.04","Tanjunganom","35.18.11","Wilangan","35.18.15")</f>
        <v>35.18.04</v>
      </c>
      <c r="E1283" s="16" t="s">
        <v>41</v>
      </c>
      <c r="F1283" s="17" t="s">
        <v>2837</v>
      </c>
      <c r="G1283" s="17" t="s">
        <v>2838</v>
      </c>
      <c r="H1283" s="101" t="s">
        <v>31</v>
      </c>
      <c r="I1283" s="94">
        <v>2</v>
      </c>
      <c r="J1283" s="94">
        <v>2</v>
      </c>
      <c r="K1283" s="94">
        <f t="shared" si="38"/>
        <v>4</v>
      </c>
      <c r="L1283" s="95">
        <v>3000000</v>
      </c>
      <c r="M1283" s="17" t="s">
        <v>2747</v>
      </c>
      <c r="N1283" s="95">
        <v>200</v>
      </c>
      <c r="O1283" s="94" t="s">
        <v>35</v>
      </c>
      <c r="P1283" s="97">
        <f>N1283*55000</f>
        <v>11000000</v>
      </c>
      <c r="Q1283" s="96" t="s">
        <v>2657</v>
      </c>
      <c r="R1283" s="98">
        <v>1000</v>
      </c>
      <c r="S1283" s="94" t="s">
        <v>422</v>
      </c>
      <c r="T1283" s="97">
        <f>R1283*4000</f>
        <v>4000000</v>
      </c>
      <c r="U1283" s="94" t="s">
        <v>22</v>
      </c>
      <c r="V1283" s="94"/>
      <c r="W1283" s="94"/>
      <c r="X1283" s="94"/>
      <c r="Y1283" s="94">
        <v>90</v>
      </c>
      <c r="Z1283" s="94">
        <v>10</v>
      </c>
      <c r="AA1283" s="94">
        <v>0</v>
      </c>
      <c r="AB1283" s="94">
        <v>0</v>
      </c>
      <c r="AC1283" s="94"/>
    </row>
    <row r="1284" spans="1:84" ht="20" x14ac:dyDescent="0.2">
      <c r="A1284" s="17" t="s">
        <v>3921</v>
      </c>
      <c r="B1284" s="17" t="s">
        <v>45</v>
      </c>
      <c r="C1284" s="17">
        <v>2025</v>
      </c>
      <c r="D1284" s="17" t="str">
        <f t="array" ref="D1284">_xlfn.SWITCH(E1284,"Jatikalen","35.18.20","Kertosono", "35.18.08","Lengkong","35.18.19","Loceret","35.18.04","Tanjunganom","35.18.11","Wilangan","35.18.15")</f>
        <v>35.18.04</v>
      </c>
      <c r="E1284" s="16" t="s">
        <v>41</v>
      </c>
      <c r="F1284" s="17" t="s">
        <v>2839</v>
      </c>
      <c r="G1284" s="17" t="s">
        <v>2840</v>
      </c>
      <c r="H1284" s="101" t="s">
        <v>31</v>
      </c>
      <c r="I1284" s="94">
        <v>3</v>
      </c>
      <c r="J1284" s="94">
        <v>1</v>
      </c>
      <c r="K1284" s="94">
        <f t="shared" si="38"/>
        <v>4</v>
      </c>
      <c r="L1284" s="95">
        <v>10000000</v>
      </c>
      <c r="M1284" s="17" t="s">
        <v>2841</v>
      </c>
      <c r="N1284" s="95"/>
      <c r="O1284" s="94"/>
      <c r="P1284" s="97"/>
      <c r="Q1284" s="96" t="s">
        <v>2842</v>
      </c>
      <c r="R1284" s="98"/>
      <c r="S1284" s="94"/>
      <c r="T1284" s="97"/>
      <c r="U1284" s="94" t="s">
        <v>22</v>
      </c>
      <c r="V1284" s="94"/>
      <c r="W1284" s="94"/>
      <c r="X1284" s="94"/>
      <c r="Y1284" s="94"/>
      <c r="Z1284" s="94"/>
      <c r="AA1284" s="94"/>
      <c r="AB1284" s="94"/>
      <c r="AC1284" s="94"/>
    </row>
    <row r="1285" spans="1:84" s="3" customFormat="1" x14ac:dyDescent="0.2">
      <c r="A1285" s="17" t="s">
        <v>3921</v>
      </c>
      <c r="B1285" s="17" t="s">
        <v>45</v>
      </c>
      <c r="C1285" s="17">
        <v>2025</v>
      </c>
      <c r="D1285" s="17" t="str">
        <f t="array" ref="D1285">_xlfn.SWITCH(E1285,"Jatikalen","35.18.20","Kertosono", "35.18.08","Lengkong","35.18.19","Loceret","35.18.04","Tanjunganom","35.18.11","Wilangan","35.18.15")</f>
        <v>35.18.08</v>
      </c>
      <c r="E1285" s="16" t="s">
        <v>128</v>
      </c>
      <c r="F1285" s="17" t="s">
        <v>2843</v>
      </c>
      <c r="G1285" s="17" t="s">
        <v>2844</v>
      </c>
      <c r="H1285" s="101" t="s">
        <v>31</v>
      </c>
      <c r="I1285" s="16">
        <v>1</v>
      </c>
      <c r="J1285" s="16">
        <v>0</v>
      </c>
      <c r="K1285" s="16">
        <f t="shared" si="38"/>
        <v>1</v>
      </c>
      <c r="L1285" s="95">
        <v>20000000</v>
      </c>
      <c r="M1285" s="17" t="s">
        <v>2803</v>
      </c>
      <c r="N1285" s="95">
        <v>5000</v>
      </c>
      <c r="O1285" s="94" t="s">
        <v>35</v>
      </c>
      <c r="P1285" s="97">
        <v>15000000</v>
      </c>
      <c r="Q1285" s="96" t="s">
        <v>2804</v>
      </c>
      <c r="R1285" s="98">
        <v>7500</v>
      </c>
      <c r="S1285" s="94" t="s">
        <v>422</v>
      </c>
      <c r="T1285" s="97">
        <v>10000000</v>
      </c>
      <c r="U1285" s="94" t="s">
        <v>22</v>
      </c>
      <c r="V1285" s="94"/>
      <c r="W1285" s="94"/>
      <c r="X1285" s="94"/>
      <c r="Y1285" s="94">
        <v>100</v>
      </c>
      <c r="Z1285" s="94">
        <v>0</v>
      </c>
      <c r="AA1285" s="94">
        <v>0</v>
      </c>
      <c r="AB1285" s="94">
        <v>0</v>
      </c>
      <c r="AC1285" s="94"/>
      <c r="AE1285" s="1"/>
      <c r="AF1285" s="2"/>
      <c r="AG1285" s="1"/>
      <c r="AH1285" s="1"/>
      <c r="AI1285" s="1"/>
      <c r="AJ1285" s="1"/>
      <c r="AK1285" s="1"/>
      <c r="AL1285" s="1"/>
      <c r="AM1285" s="1"/>
      <c r="AN1285" s="1"/>
      <c r="AO1285" s="1"/>
      <c r="AP1285" s="1"/>
      <c r="AQ1285" s="1"/>
      <c r="AR1285" s="1"/>
      <c r="AS1285" s="1"/>
      <c r="AT1285" s="1"/>
      <c r="AU1285" s="1"/>
      <c r="AV1285" s="1"/>
      <c r="AW1285" s="1"/>
      <c r="AX1285" s="1"/>
      <c r="AY1285" s="1"/>
      <c r="AZ1285" s="1"/>
      <c r="BA1285" s="1"/>
      <c r="BB1285" s="1"/>
      <c r="BC1285" s="1"/>
      <c r="BD1285" s="1"/>
      <c r="BE1285" s="1"/>
      <c r="BF1285" s="1"/>
      <c r="BG1285" s="1"/>
      <c r="BH1285" s="1"/>
      <c r="BI1285" s="1"/>
      <c r="BJ1285" s="1"/>
      <c r="BK1285" s="1"/>
      <c r="BL1285" s="1"/>
      <c r="BM1285" s="1"/>
      <c r="BN1285" s="1"/>
      <c r="BO1285" s="1"/>
      <c r="BP1285" s="1"/>
      <c r="BQ1285" s="1"/>
      <c r="BR1285" s="1"/>
      <c r="BS1285" s="1"/>
      <c r="BT1285" s="1"/>
      <c r="BU1285" s="1"/>
      <c r="BV1285" s="1"/>
      <c r="BW1285" s="1"/>
      <c r="BX1285" s="1"/>
      <c r="BY1285" s="1"/>
      <c r="BZ1285" s="1"/>
      <c r="CA1285" s="1"/>
      <c r="CB1285" s="1"/>
      <c r="CC1285" s="1"/>
      <c r="CD1285" s="1"/>
      <c r="CE1285" s="1"/>
      <c r="CF1285" s="1"/>
    </row>
    <row r="1286" spans="1:84" s="3" customFormat="1" x14ac:dyDescent="0.2">
      <c r="A1286" s="17" t="s">
        <v>3921</v>
      </c>
      <c r="B1286" s="17" t="s">
        <v>45</v>
      </c>
      <c r="C1286" s="17">
        <v>2025</v>
      </c>
      <c r="D1286" s="17" t="str">
        <f t="array" ref="D1286">_xlfn.SWITCH(E1286,"Jatikalen","35.18.20","Kertosono", "35.18.08","Lengkong","35.18.19","Loceret","35.18.04","Tanjunganom","35.18.11","Wilangan","35.18.15")</f>
        <v>35.18.08</v>
      </c>
      <c r="E1286" s="16" t="s">
        <v>128</v>
      </c>
      <c r="F1286" s="17" t="s">
        <v>2843</v>
      </c>
      <c r="G1286" s="17" t="s">
        <v>2845</v>
      </c>
      <c r="H1286" s="101" t="s">
        <v>31</v>
      </c>
      <c r="I1286" s="16">
        <v>1</v>
      </c>
      <c r="J1286" s="16">
        <v>0</v>
      </c>
      <c r="K1286" s="16">
        <f t="shared" si="38"/>
        <v>1</v>
      </c>
      <c r="L1286" s="95">
        <v>20000000</v>
      </c>
      <c r="M1286" s="17" t="s">
        <v>2803</v>
      </c>
      <c r="N1286" s="95">
        <v>5000</v>
      </c>
      <c r="O1286" s="94" t="s">
        <v>35</v>
      </c>
      <c r="P1286" s="97">
        <v>15000000</v>
      </c>
      <c r="Q1286" s="96" t="s">
        <v>2804</v>
      </c>
      <c r="R1286" s="98">
        <v>7500</v>
      </c>
      <c r="S1286" s="94" t="s">
        <v>422</v>
      </c>
      <c r="T1286" s="97">
        <v>10000000</v>
      </c>
      <c r="U1286" s="94" t="s">
        <v>22</v>
      </c>
      <c r="V1286" s="94"/>
      <c r="W1286" s="94"/>
      <c r="X1286" s="94"/>
      <c r="Y1286" s="94">
        <v>100</v>
      </c>
      <c r="Z1286" s="94">
        <v>0</v>
      </c>
      <c r="AA1286" s="94">
        <v>0</v>
      </c>
      <c r="AB1286" s="94">
        <v>0</v>
      </c>
      <c r="AC1286" s="94"/>
      <c r="AE1286" s="1"/>
      <c r="AF1286" s="2"/>
      <c r="AG1286" s="1"/>
      <c r="AH1286" s="1"/>
      <c r="AI1286" s="1"/>
      <c r="AJ1286" s="1"/>
      <c r="AK1286" s="1"/>
      <c r="AL1286" s="1"/>
      <c r="AM1286" s="1"/>
      <c r="AN1286" s="1"/>
      <c r="AO1286" s="1"/>
      <c r="AP1286" s="1"/>
      <c r="AQ1286" s="1"/>
      <c r="AR1286" s="1"/>
      <c r="AS1286" s="1"/>
      <c r="AT1286" s="1"/>
      <c r="AU1286" s="1"/>
      <c r="AV1286" s="1"/>
      <c r="AW1286" s="1"/>
      <c r="AX1286" s="1"/>
      <c r="AY1286" s="1"/>
      <c r="AZ1286" s="1"/>
      <c r="BA1286" s="1"/>
      <c r="BB1286" s="1"/>
      <c r="BC1286" s="1"/>
      <c r="BD1286" s="1"/>
      <c r="BE1286" s="1"/>
      <c r="BF1286" s="1"/>
      <c r="BG1286" s="1"/>
      <c r="BH1286" s="1"/>
      <c r="BI1286" s="1"/>
      <c r="BJ1286" s="1"/>
      <c r="BK1286" s="1"/>
      <c r="BL1286" s="1"/>
      <c r="BM1286" s="1"/>
      <c r="BN1286" s="1"/>
      <c r="BO1286" s="1"/>
      <c r="BP1286" s="1"/>
      <c r="BQ1286" s="1"/>
      <c r="BR1286" s="1"/>
      <c r="BS1286" s="1"/>
      <c r="BT1286" s="1"/>
      <c r="BU1286" s="1"/>
      <c r="BV1286" s="1"/>
      <c r="BW1286" s="1"/>
      <c r="BX1286" s="1"/>
      <c r="BY1286" s="1"/>
      <c r="BZ1286" s="1"/>
      <c r="CA1286" s="1"/>
      <c r="CB1286" s="1"/>
      <c r="CC1286" s="1"/>
      <c r="CD1286" s="1"/>
      <c r="CE1286" s="1"/>
      <c r="CF1286" s="1"/>
    </row>
    <row r="1287" spans="1:84" s="3" customFormat="1" ht="20" x14ac:dyDescent="0.2">
      <c r="A1287" s="17" t="s">
        <v>3921</v>
      </c>
      <c r="B1287" s="17" t="s">
        <v>45</v>
      </c>
      <c r="C1287" s="17">
        <v>2025</v>
      </c>
      <c r="D1287" s="17" t="str">
        <f t="array" ref="D1287">_xlfn.SWITCH(E1287,"Jatikalen","35.18.20","Kertosono", "35.18.08","Lengkong","35.18.19","Loceret","35.18.04","Tanjunganom","35.18.11","Wilangan","35.18.15")</f>
        <v>35.18.08</v>
      </c>
      <c r="E1287" s="16" t="s">
        <v>128</v>
      </c>
      <c r="F1287" s="17" t="s">
        <v>2846</v>
      </c>
      <c r="G1287" s="17" t="s">
        <v>2847</v>
      </c>
      <c r="H1287" s="101" t="s">
        <v>31</v>
      </c>
      <c r="I1287" s="16">
        <v>1</v>
      </c>
      <c r="J1287" s="16">
        <v>0</v>
      </c>
      <c r="K1287" s="16">
        <f t="shared" si="38"/>
        <v>1</v>
      </c>
      <c r="L1287" s="98">
        <v>5000000</v>
      </c>
      <c r="M1287" s="17" t="s">
        <v>2698</v>
      </c>
      <c r="N1287" s="95">
        <v>5000</v>
      </c>
      <c r="O1287" s="94" t="s">
        <v>49</v>
      </c>
      <c r="P1287" s="97">
        <f>N1287*2500</f>
        <v>12500000</v>
      </c>
      <c r="Q1287" s="96" t="s">
        <v>159</v>
      </c>
      <c r="R1287" s="98">
        <v>100</v>
      </c>
      <c r="S1287" s="94" t="s">
        <v>422</v>
      </c>
      <c r="T1287" s="97">
        <f>R1287*15000</f>
        <v>1500000</v>
      </c>
      <c r="U1287" s="94" t="s">
        <v>22</v>
      </c>
      <c r="V1287" s="94"/>
      <c r="W1287" s="94"/>
      <c r="X1287" s="94"/>
      <c r="Y1287" s="94">
        <v>100</v>
      </c>
      <c r="Z1287" s="94">
        <v>0</v>
      </c>
      <c r="AA1287" s="94">
        <v>0</v>
      </c>
      <c r="AB1287" s="94">
        <v>0</v>
      </c>
      <c r="AC1287" s="94"/>
      <c r="AE1287" s="1"/>
      <c r="AF1287" s="2"/>
      <c r="AG1287" s="1"/>
      <c r="AH1287" s="1"/>
      <c r="AI1287" s="1"/>
      <c r="AJ1287" s="1"/>
      <c r="AK1287" s="1"/>
      <c r="AL1287" s="1"/>
      <c r="AM1287" s="1"/>
      <c r="AN1287" s="1"/>
      <c r="AO1287" s="1"/>
      <c r="AP1287" s="1"/>
      <c r="AQ1287" s="1"/>
      <c r="AR1287" s="1"/>
      <c r="AS1287" s="1"/>
      <c r="AT1287" s="1"/>
      <c r="AU1287" s="1"/>
      <c r="AV1287" s="1"/>
      <c r="AW1287" s="1"/>
      <c r="AX1287" s="1"/>
      <c r="AY1287" s="1"/>
      <c r="AZ1287" s="1"/>
      <c r="BA1287" s="1"/>
      <c r="BB1287" s="1"/>
      <c r="BC1287" s="1"/>
      <c r="BD1287" s="1"/>
      <c r="BE1287" s="1"/>
      <c r="BF1287" s="1"/>
      <c r="BG1287" s="1"/>
      <c r="BH1287" s="1"/>
      <c r="BI1287" s="1"/>
      <c r="BJ1287" s="1"/>
      <c r="BK1287" s="1"/>
      <c r="BL1287" s="1"/>
      <c r="BM1287" s="1"/>
      <c r="BN1287" s="1"/>
      <c r="BO1287" s="1"/>
      <c r="BP1287" s="1"/>
      <c r="BQ1287" s="1"/>
      <c r="BR1287" s="1"/>
      <c r="BS1287" s="1"/>
      <c r="BT1287" s="1"/>
      <c r="BU1287" s="1"/>
      <c r="BV1287" s="1"/>
      <c r="BW1287" s="1"/>
      <c r="BX1287" s="1"/>
      <c r="BY1287" s="1"/>
      <c r="BZ1287" s="1"/>
      <c r="CA1287" s="1"/>
      <c r="CB1287" s="1"/>
      <c r="CC1287" s="1"/>
      <c r="CD1287" s="1"/>
      <c r="CE1287" s="1"/>
      <c r="CF1287" s="1"/>
    </row>
    <row r="1288" spans="1:84" s="3" customFormat="1" ht="20" x14ac:dyDescent="0.2">
      <c r="A1288" s="17" t="s">
        <v>3921</v>
      </c>
      <c r="B1288" s="17" t="s">
        <v>45</v>
      </c>
      <c r="C1288" s="17">
        <v>2025</v>
      </c>
      <c r="D1288" s="17" t="str">
        <f t="array" ref="D1288">_xlfn.SWITCH(E1288,"Bagor","35.18.14","Sukomoro",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88" s="16" t="s">
        <v>162</v>
      </c>
      <c r="F1288" s="17" t="s">
        <v>2848</v>
      </c>
      <c r="G1288" s="17" t="s">
        <v>2849</v>
      </c>
      <c r="H1288" s="101" t="s">
        <v>31</v>
      </c>
      <c r="I1288" s="16">
        <v>1</v>
      </c>
      <c r="J1288" s="16">
        <v>0</v>
      </c>
      <c r="K1288" s="16">
        <f t="shared" si="38"/>
        <v>1</v>
      </c>
      <c r="L1288" s="95">
        <v>3000000</v>
      </c>
      <c r="M1288" s="17" t="s">
        <v>2747</v>
      </c>
      <c r="N1288" s="95">
        <v>200</v>
      </c>
      <c r="O1288" s="94" t="s">
        <v>35</v>
      </c>
      <c r="P1288" s="97">
        <f>N1288*55000</f>
        <v>11000000</v>
      </c>
      <c r="Q1288" s="96" t="s">
        <v>2657</v>
      </c>
      <c r="R1288" s="98">
        <v>1000</v>
      </c>
      <c r="S1288" s="94" t="s">
        <v>422</v>
      </c>
      <c r="T1288" s="97">
        <f>R1288*4000</f>
        <v>4000000</v>
      </c>
      <c r="U1288" s="94" t="s">
        <v>22</v>
      </c>
      <c r="V1288" s="94"/>
      <c r="W1288" s="94"/>
      <c r="X1288" s="94"/>
      <c r="Y1288" s="94">
        <v>90</v>
      </c>
      <c r="Z1288" s="94">
        <v>10</v>
      </c>
      <c r="AA1288" s="94">
        <v>0</v>
      </c>
      <c r="AB1288" s="94">
        <v>0</v>
      </c>
      <c r="AC1288" s="94"/>
      <c r="AE1288" s="1"/>
      <c r="AF1288" s="2"/>
      <c r="AG1288" s="1"/>
      <c r="AH1288" s="1"/>
      <c r="AI1288" s="1"/>
      <c r="AJ1288" s="1"/>
      <c r="AK1288" s="1"/>
      <c r="AL1288" s="1"/>
      <c r="AM1288" s="1"/>
      <c r="AN1288" s="1"/>
      <c r="AO1288" s="1"/>
      <c r="AP1288" s="1"/>
      <c r="AQ1288" s="1"/>
      <c r="AR1288" s="1"/>
      <c r="AS1288" s="1"/>
      <c r="AT1288" s="1"/>
      <c r="AU1288" s="1"/>
      <c r="AV1288" s="1"/>
      <c r="AW1288" s="1"/>
      <c r="AX1288" s="1"/>
      <c r="AY1288" s="1"/>
      <c r="AZ1288" s="1"/>
      <c r="BA1288" s="1"/>
      <c r="BB1288" s="1"/>
      <c r="BC1288" s="1"/>
      <c r="BD1288" s="1"/>
      <c r="BE1288" s="1"/>
      <c r="BF1288" s="1"/>
      <c r="BG1288" s="1"/>
      <c r="BH1288" s="1"/>
      <c r="BI1288" s="1"/>
      <c r="BJ1288" s="1"/>
      <c r="BK1288" s="1"/>
      <c r="BL1288" s="1"/>
      <c r="BM1288" s="1"/>
      <c r="BN1288" s="1"/>
      <c r="BO1288" s="1"/>
      <c r="BP1288" s="1"/>
      <c r="BQ1288" s="1"/>
      <c r="BR1288" s="1"/>
      <c r="BS1288" s="1"/>
      <c r="BT1288" s="1"/>
      <c r="BU1288" s="1"/>
      <c r="BV1288" s="1"/>
      <c r="BW1288" s="1"/>
      <c r="BX1288" s="1"/>
      <c r="BY1288" s="1"/>
      <c r="BZ1288" s="1"/>
      <c r="CA1288" s="1"/>
      <c r="CB1288" s="1"/>
      <c r="CC1288" s="1"/>
      <c r="CD1288" s="1"/>
      <c r="CE1288" s="1"/>
      <c r="CF1288" s="1"/>
    </row>
    <row r="1289" spans="1:84" s="3" customFormat="1" ht="20" x14ac:dyDescent="0.2">
      <c r="A1289" s="17" t="s">
        <v>3921</v>
      </c>
      <c r="B1289" s="17" t="s">
        <v>45</v>
      </c>
      <c r="C1289" s="17">
        <v>2025</v>
      </c>
      <c r="D1289" s="17" t="str">
        <f t="array" ref="D1289">_xlfn.SWITCH(E1289,"Bagor","35.18.14","Sukomoro",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289" s="16" t="s">
        <v>29</v>
      </c>
      <c r="F1289" s="17" t="s">
        <v>2850</v>
      </c>
      <c r="G1289" s="17" t="s">
        <v>2851</v>
      </c>
      <c r="H1289" s="101" t="s">
        <v>31</v>
      </c>
      <c r="I1289" s="16">
        <v>1</v>
      </c>
      <c r="J1289" s="16">
        <v>0</v>
      </c>
      <c r="K1289" s="16">
        <f t="shared" si="38"/>
        <v>1</v>
      </c>
      <c r="L1289" s="38">
        <v>3500000</v>
      </c>
      <c r="M1289" s="17" t="s">
        <v>2852</v>
      </c>
      <c r="N1289" s="95"/>
      <c r="O1289" s="94" t="s">
        <v>1049</v>
      </c>
      <c r="P1289" s="97"/>
      <c r="Q1289" s="96" t="s">
        <v>2853</v>
      </c>
      <c r="R1289" s="98"/>
      <c r="S1289" s="94" t="s">
        <v>1420</v>
      </c>
      <c r="T1289" s="97"/>
      <c r="U1289" s="94" t="s">
        <v>22</v>
      </c>
      <c r="V1289" s="94"/>
      <c r="W1289" s="94"/>
      <c r="X1289" s="94"/>
      <c r="Y1289" s="94"/>
      <c r="Z1289" s="94"/>
      <c r="AA1289" s="94"/>
      <c r="AB1289" s="94"/>
      <c r="AC1289" s="94"/>
      <c r="AE1289" s="1"/>
      <c r="AF1289" s="2"/>
      <c r="AG1289" s="1"/>
      <c r="AH1289" s="1"/>
      <c r="AI1289" s="1"/>
      <c r="AJ1289" s="1"/>
      <c r="AK1289" s="1"/>
      <c r="AL1289" s="1"/>
      <c r="AM1289" s="1"/>
      <c r="AN1289" s="1"/>
      <c r="AO1289" s="1"/>
      <c r="AP1289" s="1"/>
      <c r="AQ1289" s="1"/>
      <c r="AR1289" s="1"/>
      <c r="AS1289" s="1"/>
      <c r="AT1289" s="1"/>
      <c r="AU1289" s="1"/>
      <c r="AV1289" s="1"/>
      <c r="AW1289" s="1"/>
      <c r="AX1289" s="1"/>
      <c r="AY1289" s="1"/>
      <c r="AZ1289" s="1"/>
      <c r="BA1289" s="1"/>
      <c r="BB1289" s="1"/>
      <c r="BC1289" s="1"/>
      <c r="BD1289" s="1"/>
      <c r="BE1289" s="1"/>
      <c r="BF1289" s="1"/>
      <c r="BG1289" s="1"/>
      <c r="BH1289" s="1"/>
      <c r="BI1289" s="1"/>
      <c r="BJ1289" s="1"/>
      <c r="BK1289" s="1"/>
      <c r="BL1289" s="1"/>
      <c r="BM1289" s="1"/>
      <c r="BN1289" s="1"/>
      <c r="BO1289" s="1"/>
      <c r="BP1289" s="1"/>
      <c r="BQ1289" s="1"/>
      <c r="BR1289" s="1"/>
      <c r="BS1289" s="1"/>
      <c r="BT1289" s="1"/>
      <c r="BU1289" s="1"/>
      <c r="BV1289" s="1"/>
      <c r="BW1289" s="1"/>
      <c r="BX1289" s="1"/>
      <c r="BY1289" s="1"/>
      <c r="BZ1289" s="1"/>
      <c r="CA1289" s="1"/>
      <c r="CB1289" s="1"/>
      <c r="CC1289" s="1"/>
      <c r="CD1289" s="1"/>
      <c r="CE1289" s="1"/>
      <c r="CF1289" s="1"/>
    </row>
    <row r="1290" spans="1:84" s="3" customFormat="1" ht="20" x14ac:dyDescent="0.2">
      <c r="A1290" s="17" t="s">
        <v>3921</v>
      </c>
      <c r="B1290" s="17" t="s">
        <v>45</v>
      </c>
      <c r="C1290" s="17">
        <v>2025</v>
      </c>
      <c r="D1290" s="17" t="str">
        <f t="array" ref="D1290">_xlfn.SWITCH(E1290,"Bagor","35.18.14","Sukomoro",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0" s="16" t="s">
        <v>45</v>
      </c>
      <c r="F1290" s="17" t="s">
        <v>2854</v>
      </c>
      <c r="G1290" s="17" t="s">
        <v>2855</v>
      </c>
      <c r="H1290" s="101" t="s">
        <v>31</v>
      </c>
      <c r="I1290" s="16">
        <v>1</v>
      </c>
      <c r="J1290" s="16">
        <v>0</v>
      </c>
      <c r="K1290" s="16">
        <f t="shared" si="38"/>
        <v>1</v>
      </c>
      <c r="L1290" s="98">
        <v>5000000</v>
      </c>
      <c r="M1290" s="17" t="s">
        <v>2706</v>
      </c>
      <c r="N1290" s="95">
        <v>250</v>
      </c>
      <c r="O1290" s="94" t="s">
        <v>35</v>
      </c>
      <c r="P1290" s="97">
        <f>N1290*60000</f>
        <v>15000000</v>
      </c>
      <c r="Q1290" s="96" t="s">
        <v>2707</v>
      </c>
      <c r="R1290" s="98">
        <v>400</v>
      </c>
      <c r="S1290" s="94" t="s">
        <v>422</v>
      </c>
      <c r="T1290" s="97">
        <f>R1290*25000</f>
        <v>10000000</v>
      </c>
      <c r="U1290" s="94" t="s">
        <v>22</v>
      </c>
      <c r="V1290" s="94"/>
      <c r="W1290" s="94"/>
      <c r="X1290" s="94"/>
      <c r="Y1290" s="94">
        <v>80</v>
      </c>
      <c r="Z1290" s="94">
        <v>20</v>
      </c>
      <c r="AA1290" s="94">
        <v>0</v>
      </c>
      <c r="AB1290" s="94">
        <v>0</v>
      </c>
      <c r="AC1290" s="94"/>
      <c r="AE1290" s="1"/>
      <c r="AF1290" s="2"/>
      <c r="AG1290" s="1"/>
      <c r="AH1290" s="1"/>
      <c r="AI1290" s="1"/>
      <c r="AJ1290" s="1"/>
      <c r="AK1290" s="1"/>
      <c r="AL1290" s="1"/>
      <c r="AM1290" s="1"/>
      <c r="AN1290" s="1"/>
      <c r="AO1290" s="1"/>
      <c r="AP1290" s="1"/>
      <c r="AQ1290" s="1"/>
      <c r="AR1290" s="1"/>
      <c r="AS1290" s="1"/>
      <c r="AT1290" s="1"/>
      <c r="AU1290" s="1"/>
      <c r="AV1290" s="1"/>
      <c r="AW1290" s="1"/>
      <c r="AX1290" s="1"/>
      <c r="AY1290" s="1"/>
      <c r="AZ1290" s="1"/>
      <c r="BA1290" s="1"/>
      <c r="BB1290" s="1"/>
      <c r="BC1290" s="1"/>
      <c r="BD1290" s="1"/>
      <c r="BE1290" s="1"/>
      <c r="BF1290" s="1"/>
      <c r="BG1290" s="1"/>
      <c r="BH1290" s="1"/>
      <c r="BI1290" s="1"/>
      <c r="BJ1290" s="1"/>
      <c r="BK1290" s="1"/>
      <c r="BL1290" s="1"/>
      <c r="BM1290" s="1"/>
      <c r="BN1290" s="1"/>
      <c r="BO1290" s="1"/>
      <c r="BP1290" s="1"/>
      <c r="BQ1290" s="1"/>
      <c r="BR1290" s="1"/>
      <c r="BS1290" s="1"/>
      <c r="BT1290" s="1"/>
      <c r="BU1290" s="1"/>
      <c r="BV1290" s="1"/>
      <c r="BW1290" s="1"/>
      <c r="BX1290" s="1"/>
      <c r="BY1290" s="1"/>
      <c r="BZ1290" s="1"/>
      <c r="CA1290" s="1"/>
      <c r="CB1290" s="1"/>
      <c r="CC1290" s="1"/>
      <c r="CD1290" s="1"/>
      <c r="CE1290" s="1"/>
      <c r="CF1290" s="1"/>
    </row>
    <row r="1291" spans="1:84" s="3" customFormat="1" ht="20" x14ac:dyDescent="0.2">
      <c r="A1291" s="17" t="s">
        <v>3921</v>
      </c>
      <c r="B1291" s="17" t="s">
        <v>45</v>
      </c>
      <c r="C1291" s="17">
        <v>2025</v>
      </c>
      <c r="D1291" s="17" t="str">
        <f t="array" ref="D1291">_xlfn.SWITCH(E1291,"Bagor","35.18.14","Sukomoro",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1" s="16" t="s">
        <v>45</v>
      </c>
      <c r="F1291" s="17" t="s">
        <v>2856</v>
      </c>
      <c r="G1291" s="17" t="s">
        <v>2857</v>
      </c>
      <c r="H1291" s="101" t="s">
        <v>31</v>
      </c>
      <c r="I1291" s="16">
        <v>1</v>
      </c>
      <c r="J1291" s="16">
        <v>0</v>
      </c>
      <c r="K1291" s="16">
        <f t="shared" si="38"/>
        <v>1</v>
      </c>
      <c r="L1291" s="38">
        <v>1500000</v>
      </c>
      <c r="M1291" s="17" t="s">
        <v>2858</v>
      </c>
      <c r="N1291" s="95"/>
      <c r="O1291" s="94" t="s">
        <v>422</v>
      </c>
      <c r="P1291" s="97"/>
      <c r="Q1291" s="96" t="s">
        <v>2859</v>
      </c>
      <c r="R1291" s="98"/>
      <c r="S1291" s="94" t="s">
        <v>422</v>
      </c>
      <c r="T1291" s="97"/>
      <c r="U1291" s="94" t="s">
        <v>22</v>
      </c>
      <c r="V1291" s="94"/>
      <c r="W1291" s="94"/>
      <c r="X1291" s="94"/>
      <c r="Y1291" s="94"/>
      <c r="Z1291" s="94"/>
      <c r="AA1291" s="94"/>
      <c r="AB1291" s="94"/>
      <c r="AC1291" s="94"/>
      <c r="AE1291" s="1"/>
      <c r="AF1291" s="2"/>
      <c r="AG1291" s="1"/>
      <c r="AH1291" s="1"/>
      <c r="AI1291" s="1"/>
      <c r="AJ1291" s="1"/>
      <c r="AK1291" s="1"/>
      <c r="AL1291" s="1"/>
      <c r="AM1291" s="1"/>
      <c r="AN1291" s="1"/>
      <c r="AO1291" s="1"/>
      <c r="AP1291" s="1"/>
      <c r="AQ1291" s="1"/>
      <c r="AR1291" s="1"/>
      <c r="AS1291" s="1"/>
      <c r="AT1291" s="1"/>
      <c r="AU1291" s="1"/>
      <c r="AV1291" s="1"/>
      <c r="AW1291" s="1"/>
      <c r="AX1291" s="1"/>
      <c r="AY1291" s="1"/>
      <c r="AZ1291" s="1"/>
      <c r="BA1291" s="1"/>
      <c r="BB1291" s="1"/>
      <c r="BC1291" s="1"/>
      <c r="BD1291" s="1"/>
      <c r="BE1291" s="1"/>
      <c r="BF1291" s="1"/>
      <c r="BG1291" s="1"/>
      <c r="BH1291" s="1"/>
      <c r="BI1291" s="1"/>
      <c r="BJ1291" s="1"/>
      <c r="BK1291" s="1"/>
      <c r="BL1291" s="1"/>
      <c r="BM1291" s="1"/>
      <c r="BN1291" s="1"/>
      <c r="BO1291" s="1"/>
      <c r="BP1291" s="1"/>
      <c r="BQ1291" s="1"/>
      <c r="BR1291" s="1"/>
      <c r="BS1291" s="1"/>
      <c r="BT1291" s="1"/>
      <c r="BU1291" s="1"/>
      <c r="BV1291" s="1"/>
      <c r="BW1291" s="1"/>
      <c r="BX1291" s="1"/>
      <c r="BY1291" s="1"/>
      <c r="BZ1291" s="1"/>
      <c r="CA1291" s="1"/>
      <c r="CB1291" s="1"/>
      <c r="CC1291" s="1"/>
      <c r="CD1291" s="1"/>
      <c r="CE1291" s="1"/>
      <c r="CF1291" s="1"/>
    </row>
    <row r="1292" spans="1:84" s="3" customFormat="1" ht="20" x14ac:dyDescent="0.2">
      <c r="A1292" s="17" t="s">
        <v>3921</v>
      </c>
      <c r="B1292" s="17" t="s">
        <v>45</v>
      </c>
      <c r="C1292" s="17">
        <v>2025</v>
      </c>
      <c r="D1292" s="17" t="str">
        <f t="array" ref="D1292">_xlfn.SWITCH(E1292,"Bagor","35.18.14","Sukomoro",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2" s="16" t="s">
        <v>45</v>
      </c>
      <c r="F1292" s="17" t="s">
        <v>2860</v>
      </c>
      <c r="G1292" s="17" t="s">
        <v>2861</v>
      </c>
      <c r="H1292" s="101" t="s">
        <v>31</v>
      </c>
      <c r="I1292" s="16">
        <v>1</v>
      </c>
      <c r="J1292" s="16">
        <v>0</v>
      </c>
      <c r="K1292" s="16">
        <f t="shared" si="38"/>
        <v>1</v>
      </c>
      <c r="L1292" s="38">
        <v>1500000</v>
      </c>
      <c r="M1292" s="17" t="s">
        <v>2862</v>
      </c>
      <c r="N1292" s="95"/>
      <c r="O1292" s="94" t="s">
        <v>422</v>
      </c>
      <c r="P1292" s="97"/>
      <c r="Q1292" s="96" t="s">
        <v>2863</v>
      </c>
      <c r="R1292" s="98"/>
      <c r="S1292" s="94" t="s">
        <v>422</v>
      </c>
      <c r="T1292" s="97"/>
      <c r="U1292" s="94" t="s">
        <v>22</v>
      </c>
      <c r="V1292" s="94"/>
      <c r="W1292" s="94"/>
      <c r="X1292" s="94"/>
      <c r="Y1292" s="94"/>
      <c r="Z1292" s="94"/>
      <c r="AA1292" s="94"/>
      <c r="AB1292" s="94"/>
      <c r="AC1292" s="94"/>
      <c r="AE1292" s="1"/>
      <c r="AF1292" s="2"/>
      <c r="AG1292" s="1"/>
      <c r="AH1292" s="1"/>
      <c r="AI1292" s="1"/>
      <c r="AJ1292" s="1"/>
      <c r="AK1292" s="1"/>
      <c r="AL1292" s="1"/>
      <c r="AM1292" s="1"/>
      <c r="AN1292" s="1"/>
      <c r="AO1292" s="1"/>
      <c r="AP1292" s="1"/>
      <c r="AQ1292" s="1"/>
      <c r="AR1292" s="1"/>
      <c r="AS1292" s="1"/>
      <c r="AT1292" s="1"/>
      <c r="AU1292" s="1"/>
      <c r="AV1292" s="1"/>
      <c r="AW1292" s="1"/>
      <c r="AX1292" s="1"/>
      <c r="AY1292" s="1"/>
      <c r="AZ1292" s="1"/>
      <c r="BA1292" s="1"/>
      <c r="BB1292" s="1"/>
      <c r="BC1292" s="1"/>
      <c r="BD1292" s="1"/>
      <c r="BE1292" s="1"/>
      <c r="BF1292" s="1"/>
      <c r="BG1292" s="1"/>
      <c r="BH1292" s="1"/>
      <c r="BI1292" s="1"/>
      <c r="BJ1292" s="1"/>
      <c r="BK1292" s="1"/>
      <c r="BL1292" s="1"/>
      <c r="BM1292" s="1"/>
      <c r="BN1292" s="1"/>
      <c r="BO1292" s="1"/>
      <c r="BP1292" s="1"/>
      <c r="BQ1292" s="1"/>
      <c r="BR1292" s="1"/>
      <c r="BS1292" s="1"/>
      <c r="BT1292" s="1"/>
      <c r="BU1292" s="1"/>
      <c r="BV1292" s="1"/>
      <c r="BW1292" s="1"/>
      <c r="BX1292" s="1"/>
      <c r="BY1292" s="1"/>
      <c r="BZ1292" s="1"/>
      <c r="CA1292" s="1"/>
      <c r="CB1292" s="1"/>
      <c r="CC1292" s="1"/>
      <c r="CD1292" s="1"/>
      <c r="CE1292" s="1"/>
      <c r="CF1292" s="1"/>
    </row>
    <row r="1293" spans="1:84" s="3" customFormat="1" ht="30" x14ac:dyDescent="0.2">
      <c r="A1293" s="17" t="s">
        <v>3921</v>
      </c>
      <c r="B1293" s="17" t="s">
        <v>45</v>
      </c>
      <c r="C1293" s="17">
        <v>2025</v>
      </c>
      <c r="D1293" s="17" t="str">
        <f t="array" ref="D1293">_xlfn.SWITCH(E1293,"Bagor","35.18.14","Sukomoro",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3" s="16" t="s">
        <v>45</v>
      </c>
      <c r="F1293" s="17" t="s">
        <v>2864</v>
      </c>
      <c r="G1293" s="17" t="s">
        <v>2865</v>
      </c>
      <c r="H1293" s="101" t="s">
        <v>31</v>
      </c>
      <c r="I1293" s="16">
        <v>1</v>
      </c>
      <c r="J1293" s="16">
        <v>0</v>
      </c>
      <c r="K1293" s="16">
        <f t="shared" si="38"/>
        <v>1</v>
      </c>
      <c r="L1293" s="98">
        <v>5000000</v>
      </c>
      <c r="M1293" s="17" t="s">
        <v>2706</v>
      </c>
      <c r="N1293" s="95">
        <v>250</v>
      </c>
      <c r="O1293" s="94" t="s">
        <v>35</v>
      </c>
      <c r="P1293" s="97">
        <f>N1293*60000</f>
        <v>15000000</v>
      </c>
      <c r="Q1293" s="96" t="s">
        <v>2707</v>
      </c>
      <c r="R1293" s="98">
        <v>400</v>
      </c>
      <c r="S1293" s="94" t="s">
        <v>422</v>
      </c>
      <c r="T1293" s="97">
        <f>R1293*25000</f>
        <v>10000000</v>
      </c>
      <c r="U1293" s="94" t="s">
        <v>22</v>
      </c>
      <c r="V1293" s="94"/>
      <c r="W1293" s="94"/>
      <c r="X1293" s="94"/>
      <c r="Y1293" s="94">
        <v>80</v>
      </c>
      <c r="Z1293" s="94">
        <v>20</v>
      </c>
      <c r="AA1293" s="94">
        <v>0</v>
      </c>
      <c r="AB1293" s="94">
        <v>0</v>
      </c>
      <c r="AC1293" s="94"/>
      <c r="AE1293" s="1"/>
      <c r="AF1293" s="2"/>
      <c r="AG1293" s="1"/>
      <c r="AH1293" s="1"/>
      <c r="AI1293" s="1"/>
      <c r="AJ1293" s="1"/>
      <c r="AK1293" s="1"/>
      <c r="AL1293" s="1"/>
      <c r="AM1293" s="1"/>
      <c r="AN1293" s="1"/>
      <c r="AO1293" s="1"/>
      <c r="AP1293" s="1"/>
      <c r="AQ1293" s="1"/>
      <c r="AR1293" s="1"/>
      <c r="AS1293" s="1"/>
      <c r="AT1293" s="1"/>
      <c r="AU1293" s="1"/>
      <c r="AV1293" s="1"/>
      <c r="AW1293" s="1"/>
      <c r="AX1293" s="1"/>
      <c r="AY1293" s="1"/>
      <c r="AZ1293" s="1"/>
      <c r="BA1293" s="1"/>
      <c r="BB1293" s="1"/>
      <c r="BC1293" s="1"/>
      <c r="BD1293" s="1"/>
      <c r="BE1293" s="1"/>
      <c r="BF1293" s="1"/>
      <c r="BG1293" s="1"/>
      <c r="BH1293" s="1"/>
      <c r="BI1293" s="1"/>
      <c r="BJ1293" s="1"/>
      <c r="BK1293" s="1"/>
      <c r="BL1293" s="1"/>
      <c r="BM1293" s="1"/>
      <c r="BN1293" s="1"/>
      <c r="BO1293" s="1"/>
      <c r="BP1293" s="1"/>
      <c r="BQ1293" s="1"/>
      <c r="BR1293" s="1"/>
      <c r="BS1293" s="1"/>
      <c r="BT1293" s="1"/>
      <c r="BU1293" s="1"/>
      <c r="BV1293" s="1"/>
      <c r="BW1293" s="1"/>
      <c r="BX1293" s="1"/>
      <c r="BY1293" s="1"/>
      <c r="BZ1293" s="1"/>
      <c r="CA1293" s="1"/>
      <c r="CB1293" s="1"/>
      <c r="CC1293" s="1"/>
      <c r="CD1293" s="1"/>
      <c r="CE1293" s="1"/>
      <c r="CF1293" s="1"/>
    </row>
    <row r="1294" spans="1:84" s="3" customFormat="1" ht="20" x14ac:dyDescent="0.2">
      <c r="A1294" s="17" t="s">
        <v>3921</v>
      </c>
      <c r="B1294" s="17" t="s">
        <v>45</v>
      </c>
      <c r="C1294" s="17">
        <v>2025</v>
      </c>
      <c r="D1294" s="17" t="str">
        <f t="array" ref="D1294">_xlfn.SWITCH(E1294,"Bagor","35.18.14","Sukomoro",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4" s="16" t="s">
        <v>45</v>
      </c>
      <c r="F1294" s="17" t="s">
        <v>2866</v>
      </c>
      <c r="G1294" s="17" t="s">
        <v>2867</v>
      </c>
      <c r="H1294" s="101" t="s">
        <v>31</v>
      </c>
      <c r="I1294" s="16">
        <v>1</v>
      </c>
      <c r="J1294" s="16">
        <v>0</v>
      </c>
      <c r="K1294" s="16">
        <f t="shared" si="38"/>
        <v>1</v>
      </c>
      <c r="L1294" s="38">
        <v>1500000</v>
      </c>
      <c r="M1294" s="17" t="s">
        <v>2868</v>
      </c>
      <c r="N1294" s="95"/>
      <c r="O1294" s="94" t="s">
        <v>2869</v>
      </c>
      <c r="P1294" s="97"/>
      <c r="Q1294" s="96" t="s">
        <v>2870</v>
      </c>
      <c r="R1294" s="98"/>
      <c r="S1294" s="94" t="s">
        <v>422</v>
      </c>
      <c r="T1294" s="97"/>
      <c r="U1294" s="94" t="s">
        <v>22</v>
      </c>
      <c r="V1294" s="94"/>
      <c r="W1294" s="94"/>
      <c r="X1294" s="94"/>
      <c r="Y1294" s="94"/>
      <c r="Z1294" s="94"/>
      <c r="AA1294" s="94"/>
      <c r="AB1294" s="94"/>
      <c r="AC1294" s="94"/>
      <c r="AE1294" s="1"/>
      <c r="AF1294" s="2"/>
      <c r="AG1294" s="1"/>
      <c r="AH1294" s="1"/>
      <c r="AI1294" s="1"/>
      <c r="AJ1294" s="1"/>
      <c r="AK1294" s="1"/>
      <c r="AL1294" s="1"/>
      <c r="AM1294" s="1"/>
      <c r="AN1294" s="1"/>
      <c r="AO1294" s="1"/>
      <c r="AP1294" s="1"/>
      <c r="AQ1294" s="1"/>
      <c r="AR1294" s="1"/>
      <c r="AS1294" s="1"/>
      <c r="AT1294" s="1"/>
      <c r="AU1294" s="1"/>
      <c r="AV1294" s="1"/>
      <c r="AW1294" s="1"/>
      <c r="AX1294" s="1"/>
      <c r="AY1294" s="1"/>
      <c r="AZ1294" s="1"/>
      <c r="BA1294" s="1"/>
      <c r="BB1294" s="1"/>
      <c r="BC1294" s="1"/>
      <c r="BD1294" s="1"/>
      <c r="BE1294" s="1"/>
      <c r="BF1294" s="1"/>
      <c r="BG1294" s="1"/>
      <c r="BH1294" s="1"/>
      <c r="BI1294" s="1"/>
      <c r="BJ1294" s="1"/>
      <c r="BK1294" s="1"/>
      <c r="BL1294" s="1"/>
      <c r="BM1294" s="1"/>
      <c r="BN1294" s="1"/>
      <c r="BO1294" s="1"/>
      <c r="BP1294" s="1"/>
      <c r="BQ1294" s="1"/>
      <c r="BR1294" s="1"/>
      <c r="BS1294" s="1"/>
      <c r="BT1294" s="1"/>
      <c r="BU1294" s="1"/>
      <c r="BV1294" s="1"/>
      <c r="BW1294" s="1"/>
      <c r="BX1294" s="1"/>
      <c r="BY1294" s="1"/>
      <c r="BZ1294" s="1"/>
      <c r="CA1294" s="1"/>
      <c r="CB1294" s="1"/>
      <c r="CC1294" s="1"/>
      <c r="CD1294" s="1"/>
      <c r="CE1294" s="1"/>
      <c r="CF1294" s="1"/>
    </row>
    <row r="1295" spans="1:84" s="3" customFormat="1" ht="20" x14ac:dyDescent="0.2">
      <c r="A1295" s="17" t="s">
        <v>3921</v>
      </c>
      <c r="B1295" s="17" t="s">
        <v>45</v>
      </c>
      <c r="C1295" s="17">
        <v>2025</v>
      </c>
      <c r="D1295" s="17" t="str">
        <f t="array" ref="D1295">_xlfn.SWITCH(E1295,"Bagor","35.18.14","Sukomoro",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95" s="16" t="s">
        <v>124</v>
      </c>
      <c r="F1295" s="17" t="s">
        <v>2871</v>
      </c>
      <c r="G1295" s="17" t="s">
        <v>2872</v>
      </c>
      <c r="H1295" s="101" t="s">
        <v>31</v>
      </c>
      <c r="I1295" s="16">
        <v>1</v>
      </c>
      <c r="J1295" s="16">
        <v>0</v>
      </c>
      <c r="K1295" s="16">
        <f t="shared" si="38"/>
        <v>1</v>
      </c>
      <c r="L1295" s="38">
        <v>1500000</v>
      </c>
      <c r="M1295" s="17" t="s">
        <v>2873</v>
      </c>
      <c r="N1295" s="95"/>
      <c r="O1295" s="94"/>
      <c r="P1295" s="97"/>
      <c r="Q1295" s="96" t="s">
        <v>2874</v>
      </c>
      <c r="R1295" s="98"/>
      <c r="S1295" s="94"/>
      <c r="T1295" s="97"/>
      <c r="U1295" s="94" t="s">
        <v>22</v>
      </c>
      <c r="V1295" s="94"/>
      <c r="W1295" s="94"/>
      <c r="X1295" s="94"/>
      <c r="Y1295" s="94"/>
      <c r="Z1295" s="94"/>
      <c r="AA1295" s="94"/>
      <c r="AB1295" s="94"/>
      <c r="AC1295" s="94"/>
      <c r="AE1295" s="1"/>
      <c r="AF1295" s="2"/>
      <c r="AG1295" s="1"/>
      <c r="AH1295" s="1"/>
      <c r="AI1295" s="1"/>
      <c r="AJ1295" s="1"/>
      <c r="AK1295" s="1"/>
      <c r="AL1295" s="1"/>
      <c r="AM1295" s="1"/>
      <c r="AN1295" s="1"/>
      <c r="AO1295" s="1"/>
      <c r="AP1295" s="1"/>
      <c r="AQ1295" s="1"/>
      <c r="AR1295" s="1"/>
      <c r="AS1295" s="1"/>
      <c r="AT1295" s="1"/>
      <c r="AU1295" s="1"/>
      <c r="AV1295" s="1"/>
      <c r="AW1295" s="1"/>
      <c r="AX1295" s="1"/>
      <c r="AY1295" s="1"/>
      <c r="AZ1295" s="1"/>
      <c r="BA1295" s="1"/>
      <c r="BB1295" s="1"/>
      <c r="BC1295" s="1"/>
      <c r="BD1295" s="1"/>
      <c r="BE1295" s="1"/>
      <c r="BF1295" s="1"/>
      <c r="BG1295" s="1"/>
      <c r="BH1295" s="1"/>
      <c r="BI1295" s="1"/>
      <c r="BJ1295" s="1"/>
      <c r="BK1295" s="1"/>
      <c r="BL1295" s="1"/>
      <c r="BM1295" s="1"/>
      <c r="BN1295" s="1"/>
      <c r="BO1295" s="1"/>
      <c r="BP1295" s="1"/>
      <c r="BQ1295" s="1"/>
      <c r="BR1295" s="1"/>
      <c r="BS1295" s="1"/>
      <c r="BT1295" s="1"/>
      <c r="BU1295" s="1"/>
      <c r="BV1295" s="1"/>
      <c r="BW1295" s="1"/>
      <c r="BX1295" s="1"/>
      <c r="BY1295" s="1"/>
      <c r="BZ1295" s="1"/>
      <c r="CA1295" s="1"/>
      <c r="CB1295" s="1"/>
      <c r="CC1295" s="1"/>
      <c r="CD1295" s="1"/>
      <c r="CE1295" s="1"/>
      <c r="CF1295" s="1"/>
    </row>
    <row r="1296" spans="1:84" s="3" customFormat="1" ht="20" x14ac:dyDescent="0.2">
      <c r="A1296" s="17" t="s">
        <v>3921</v>
      </c>
      <c r="B1296" s="17" t="s">
        <v>45</v>
      </c>
      <c r="C1296" s="17">
        <v>2025</v>
      </c>
      <c r="D1296" s="17" t="str">
        <f t="array" ref="D1296">_xlfn.SWITCH(E1296,"Bagor","35.18.14","Sukomoro",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96" s="16" t="s">
        <v>188</v>
      </c>
      <c r="F1296" s="17" t="s">
        <v>2875</v>
      </c>
      <c r="G1296" s="17" t="s">
        <v>2876</v>
      </c>
      <c r="H1296" s="101" t="s">
        <v>31</v>
      </c>
      <c r="I1296" s="16">
        <v>1</v>
      </c>
      <c r="J1296" s="16">
        <v>0</v>
      </c>
      <c r="K1296" s="16">
        <f t="shared" si="38"/>
        <v>1</v>
      </c>
      <c r="L1296" s="95">
        <v>5000000</v>
      </c>
      <c r="M1296" s="17" t="s">
        <v>2733</v>
      </c>
      <c r="N1296" s="95">
        <v>750</v>
      </c>
      <c r="O1296" s="16" t="s">
        <v>422</v>
      </c>
      <c r="P1296" s="97">
        <v>18000000</v>
      </c>
      <c r="Q1296" s="96" t="s">
        <v>1553</v>
      </c>
      <c r="R1296" s="98">
        <v>500</v>
      </c>
      <c r="S1296" s="94" t="s">
        <v>422</v>
      </c>
      <c r="T1296" s="97">
        <v>14000000</v>
      </c>
      <c r="U1296" s="94" t="s">
        <v>22</v>
      </c>
      <c r="V1296" s="94"/>
      <c r="W1296" s="94"/>
      <c r="X1296" s="94"/>
      <c r="Y1296" s="94"/>
      <c r="Z1296" s="94"/>
      <c r="AA1296" s="94"/>
      <c r="AB1296" s="119"/>
      <c r="AC1296" s="119"/>
      <c r="AE1296" s="1"/>
      <c r="AF1296" s="2"/>
      <c r="AG1296" s="1"/>
      <c r="AH1296" s="1"/>
      <c r="AI1296" s="1"/>
      <c r="AJ1296" s="1"/>
      <c r="AK1296" s="1"/>
      <c r="AL1296" s="1"/>
      <c r="AM1296" s="1"/>
      <c r="AN1296" s="1"/>
      <c r="AO1296" s="1"/>
      <c r="AP1296" s="1"/>
      <c r="AQ1296" s="1"/>
      <c r="AR1296" s="1"/>
      <c r="AS1296" s="1"/>
      <c r="AT1296" s="1"/>
      <c r="AU1296" s="1"/>
      <c r="AV1296" s="1"/>
      <c r="AW1296" s="1"/>
      <c r="AX1296" s="1"/>
      <c r="AY1296" s="1"/>
      <c r="AZ1296" s="1"/>
      <c r="BA1296" s="1"/>
      <c r="BB1296" s="1"/>
      <c r="BC1296" s="1"/>
      <c r="BD1296" s="1"/>
      <c r="BE1296" s="1"/>
      <c r="BF1296" s="1"/>
      <c r="BG1296" s="1"/>
      <c r="BH1296" s="1"/>
      <c r="BI1296" s="1"/>
      <c r="BJ1296" s="1"/>
      <c r="BK1296" s="1"/>
      <c r="BL1296" s="1"/>
      <c r="BM1296" s="1"/>
      <c r="BN1296" s="1"/>
      <c r="BO1296" s="1"/>
      <c r="BP1296" s="1"/>
      <c r="BQ1296" s="1"/>
      <c r="BR1296" s="1"/>
      <c r="BS1296" s="1"/>
      <c r="BT1296" s="1"/>
      <c r="BU1296" s="1"/>
      <c r="BV1296" s="1"/>
      <c r="BW1296" s="1"/>
      <c r="BX1296" s="1"/>
      <c r="BY1296" s="1"/>
      <c r="BZ1296" s="1"/>
      <c r="CA1296" s="1"/>
      <c r="CB1296" s="1"/>
      <c r="CC1296" s="1"/>
      <c r="CD1296" s="1"/>
      <c r="CE1296" s="1"/>
      <c r="CF1296" s="1"/>
    </row>
    <row r="1297" spans="1:84" s="3" customFormat="1" ht="20" x14ac:dyDescent="0.2">
      <c r="A1297" s="17" t="s">
        <v>3921</v>
      </c>
      <c r="B1297" s="17" t="s">
        <v>45</v>
      </c>
      <c r="C1297" s="17">
        <v>2025</v>
      </c>
      <c r="D1297" s="17" t="str">
        <f t="array" ref="D1297">_xlfn.SWITCH(E1297,"Bagor","35.18.14","Sukomoro",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97" s="16" t="s">
        <v>188</v>
      </c>
      <c r="F1297" s="17" t="s">
        <v>2877</v>
      </c>
      <c r="G1297" s="17" t="s">
        <v>2878</v>
      </c>
      <c r="H1297" s="101" t="s">
        <v>31</v>
      </c>
      <c r="I1297" s="16">
        <v>1</v>
      </c>
      <c r="J1297" s="16">
        <v>0</v>
      </c>
      <c r="K1297" s="16">
        <f t="shared" si="38"/>
        <v>1</v>
      </c>
      <c r="L1297" s="98">
        <v>5000000</v>
      </c>
      <c r="M1297" s="17" t="s">
        <v>2698</v>
      </c>
      <c r="N1297" s="95">
        <v>5000</v>
      </c>
      <c r="O1297" s="94" t="s">
        <v>49</v>
      </c>
      <c r="P1297" s="97">
        <f>N1297*2500</f>
        <v>12500000</v>
      </c>
      <c r="Q1297" s="96" t="s">
        <v>159</v>
      </c>
      <c r="R1297" s="98">
        <v>100</v>
      </c>
      <c r="S1297" s="94" t="s">
        <v>422</v>
      </c>
      <c r="T1297" s="97">
        <f>R1297*15000</f>
        <v>1500000</v>
      </c>
      <c r="U1297" s="94" t="s">
        <v>22</v>
      </c>
      <c r="V1297" s="94"/>
      <c r="W1297" s="94"/>
      <c r="X1297" s="94"/>
      <c r="Y1297" s="94">
        <v>100</v>
      </c>
      <c r="Z1297" s="94">
        <v>0</v>
      </c>
      <c r="AA1297" s="94">
        <v>0</v>
      </c>
      <c r="AB1297" s="94">
        <v>0</v>
      </c>
      <c r="AC1297" s="94"/>
      <c r="AE1297" s="1"/>
      <c r="AF1297" s="2"/>
      <c r="AG1297" s="1"/>
      <c r="AH1297" s="1"/>
      <c r="AI1297" s="1"/>
      <c r="AJ1297" s="1"/>
      <c r="AK1297" s="1"/>
      <c r="AL1297" s="1"/>
      <c r="AM1297" s="1"/>
      <c r="AN1297" s="1"/>
      <c r="AO1297" s="1"/>
      <c r="AP1297" s="1"/>
      <c r="AQ1297" s="1"/>
      <c r="AR1297" s="1"/>
      <c r="AS1297" s="1"/>
      <c r="AT1297" s="1"/>
      <c r="AU1297" s="1"/>
      <c r="AV1297" s="1"/>
      <c r="AW1297" s="1"/>
      <c r="AX1297" s="1"/>
      <c r="AY1297" s="1"/>
      <c r="AZ1297" s="1"/>
      <c r="BA1297" s="1"/>
      <c r="BB1297" s="1"/>
      <c r="BC1297" s="1"/>
      <c r="BD1297" s="1"/>
      <c r="BE1297" s="1"/>
      <c r="BF1297" s="1"/>
      <c r="BG1297" s="1"/>
      <c r="BH1297" s="1"/>
      <c r="BI1297" s="1"/>
      <c r="BJ1297" s="1"/>
      <c r="BK1297" s="1"/>
      <c r="BL1297" s="1"/>
      <c r="BM1297" s="1"/>
      <c r="BN1297" s="1"/>
      <c r="BO1297" s="1"/>
      <c r="BP1297" s="1"/>
      <c r="BQ1297" s="1"/>
      <c r="BR1297" s="1"/>
      <c r="BS1297" s="1"/>
      <c r="BT1297" s="1"/>
      <c r="BU1297" s="1"/>
      <c r="BV1297" s="1"/>
      <c r="BW1297" s="1"/>
      <c r="BX1297" s="1"/>
      <c r="BY1297" s="1"/>
      <c r="BZ1297" s="1"/>
      <c r="CA1297" s="1"/>
      <c r="CB1297" s="1"/>
      <c r="CC1297" s="1"/>
      <c r="CD1297" s="1"/>
      <c r="CE1297" s="1"/>
      <c r="CF1297" s="1"/>
    </row>
    <row r="1298" spans="1:84" s="3" customFormat="1" ht="20" x14ac:dyDescent="0.2">
      <c r="A1298" s="17" t="s">
        <v>3921</v>
      </c>
      <c r="B1298" s="17" t="s">
        <v>45</v>
      </c>
      <c r="C1298" s="17">
        <v>2025</v>
      </c>
      <c r="D1298" s="17" t="str">
        <f t="array" ref="D1298">_xlfn.SWITCH(E1298,"Bagor","35.18.14","Sukomoro",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8" s="16" t="s">
        <v>45</v>
      </c>
      <c r="F1298" s="17" t="s">
        <v>2879</v>
      </c>
      <c r="G1298" s="17" t="s">
        <v>2880</v>
      </c>
      <c r="H1298" s="101" t="s">
        <v>31</v>
      </c>
      <c r="I1298" s="16">
        <v>1</v>
      </c>
      <c r="J1298" s="16">
        <v>0</v>
      </c>
      <c r="K1298" s="16">
        <f t="shared" si="38"/>
        <v>1</v>
      </c>
      <c r="L1298" s="98">
        <v>5000000</v>
      </c>
      <c r="M1298" s="17" t="s">
        <v>2706</v>
      </c>
      <c r="N1298" s="95">
        <v>250</v>
      </c>
      <c r="O1298" s="94" t="s">
        <v>35</v>
      </c>
      <c r="P1298" s="97">
        <f>N1298*60000</f>
        <v>15000000</v>
      </c>
      <c r="Q1298" s="96" t="s">
        <v>2707</v>
      </c>
      <c r="R1298" s="98">
        <v>400</v>
      </c>
      <c r="S1298" s="94" t="s">
        <v>422</v>
      </c>
      <c r="T1298" s="97">
        <f>R1298*25000</f>
        <v>10000000</v>
      </c>
      <c r="U1298" s="94" t="s">
        <v>22</v>
      </c>
      <c r="V1298" s="94"/>
      <c r="W1298" s="94"/>
      <c r="X1298" s="94"/>
      <c r="Y1298" s="94">
        <v>80</v>
      </c>
      <c r="Z1298" s="94">
        <v>20</v>
      </c>
      <c r="AA1298" s="94">
        <v>0</v>
      </c>
      <c r="AB1298" s="94">
        <v>0</v>
      </c>
      <c r="AC1298" s="94"/>
      <c r="AE1298" s="1"/>
      <c r="AF1298" s="2"/>
      <c r="AG1298" s="1"/>
      <c r="AH1298" s="1"/>
      <c r="AI1298" s="1"/>
      <c r="AJ1298" s="1"/>
      <c r="AK1298" s="1"/>
      <c r="AL1298" s="1"/>
      <c r="AM1298" s="1"/>
      <c r="AN1298" s="1"/>
      <c r="AO1298" s="1"/>
      <c r="AP1298" s="1"/>
      <c r="AQ1298" s="1"/>
      <c r="AR1298" s="1"/>
      <c r="AS1298" s="1"/>
      <c r="AT1298" s="1"/>
      <c r="AU1298" s="1"/>
      <c r="AV1298" s="1"/>
      <c r="AW1298" s="1"/>
      <c r="AX1298" s="1"/>
      <c r="AY1298" s="1"/>
      <c r="AZ1298" s="1"/>
      <c r="BA1298" s="1"/>
      <c r="BB1298" s="1"/>
      <c r="BC1298" s="1"/>
      <c r="BD1298" s="1"/>
      <c r="BE1298" s="1"/>
      <c r="BF1298" s="1"/>
      <c r="BG1298" s="1"/>
      <c r="BH1298" s="1"/>
      <c r="BI1298" s="1"/>
      <c r="BJ1298" s="1"/>
      <c r="BK1298" s="1"/>
      <c r="BL1298" s="1"/>
      <c r="BM1298" s="1"/>
      <c r="BN1298" s="1"/>
      <c r="BO1298" s="1"/>
      <c r="BP1298" s="1"/>
      <c r="BQ1298" s="1"/>
      <c r="BR1298" s="1"/>
      <c r="BS1298" s="1"/>
      <c r="BT1298" s="1"/>
      <c r="BU1298" s="1"/>
      <c r="BV1298" s="1"/>
      <c r="BW1298" s="1"/>
      <c r="BX1298" s="1"/>
      <c r="BY1298" s="1"/>
      <c r="BZ1298" s="1"/>
      <c r="CA1298" s="1"/>
      <c r="CB1298" s="1"/>
      <c r="CC1298" s="1"/>
      <c r="CD1298" s="1"/>
      <c r="CE1298" s="1"/>
      <c r="CF1298" s="1"/>
    </row>
    <row r="1299" spans="1:84" s="3" customFormat="1" ht="20" x14ac:dyDescent="0.2">
      <c r="A1299" s="17" t="s">
        <v>3921</v>
      </c>
      <c r="B1299" s="17" t="s">
        <v>45</v>
      </c>
      <c r="C1299" s="17">
        <v>2025</v>
      </c>
      <c r="D1299" s="17" t="str">
        <f t="array" ref="D1299">_xlfn.SWITCH(E1299,"Bagor","35.18.14","Sukomoro",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1299" s="16" t="s">
        <v>55</v>
      </c>
      <c r="F1299" s="17" t="s">
        <v>2881</v>
      </c>
      <c r="G1299" s="17" t="s">
        <v>2882</v>
      </c>
      <c r="H1299" s="101" t="s">
        <v>31</v>
      </c>
      <c r="I1299" s="94">
        <v>0</v>
      </c>
      <c r="J1299" s="94">
        <v>2</v>
      </c>
      <c r="K1299" s="94">
        <f t="shared" si="38"/>
        <v>2</v>
      </c>
      <c r="L1299" s="98">
        <v>3000000</v>
      </c>
      <c r="M1299" s="17" t="s">
        <v>2256</v>
      </c>
      <c r="N1299" s="95"/>
      <c r="O1299" s="94"/>
      <c r="P1299" s="97">
        <v>7000000</v>
      </c>
      <c r="Q1299" s="96"/>
      <c r="R1299" s="98"/>
      <c r="S1299" s="94"/>
      <c r="T1299" s="97"/>
      <c r="U1299" s="94" t="s">
        <v>22</v>
      </c>
      <c r="V1299" s="94"/>
      <c r="W1299" s="94"/>
      <c r="X1299" s="94"/>
      <c r="Y1299" s="94"/>
      <c r="Z1299" s="94"/>
      <c r="AA1299" s="94"/>
      <c r="AB1299" s="94"/>
      <c r="AC1299" s="94"/>
      <c r="AE1299" s="1"/>
      <c r="AF1299" s="2"/>
      <c r="AG1299" s="1"/>
      <c r="AH1299" s="1"/>
      <c r="AI1299" s="1"/>
      <c r="AJ1299" s="1"/>
      <c r="AK1299" s="1"/>
      <c r="AL1299" s="1"/>
      <c r="AM1299" s="1"/>
      <c r="AN1299" s="1"/>
      <c r="AO1299" s="1"/>
      <c r="AP1299" s="1"/>
      <c r="AQ1299" s="1"/>
      <c r="AR1299" s="1"/>
      <c r="AS1299" s="1"/>
      <c r="AT1299" s="1"/>
      <c r="AU1299" s="1"/>
      <c r="AV1299" s="1"/>
      <c r="AW1299" s="1"/>
      <c r="AX1299" s="1"/>
      <c r="AY1299" s="1"/>
      <c r="AZ1299" s="1"/>
      <c r="BA1299" s="1"/>
      <c r="BB1299" s="1"/>
      <c r="BC1299" s="1"/>
      <c r="BD1299" s="1"/>
      <c r="BE1299" s="1"/>
      <c r="BF1299" s="1"/>
      <c r="BG1299" s="1"/>
      <c r="BH1299" s="1"/>
      <c r="BI1299" s="1"/>
      <c r="BJ1299" s="1"/>
      <c r="BK1299" s="1"/>
      <c r="BL1299" s="1"/>
      <c r="BM1299" s="1"/>
      <c r="BN1299" s="1"/>
      <c r="BO1299" s="1"/>
      <c r="BP1299" s="1"/>
      <c r="BQ1299" s="1"/>
      <c r="BR1299" s="1"/>
      <c r="BS1299" s="1"/>
      <c r="BT1299" s="1"/>
      <c r="BU1299" s="1"/>
      <c r="BV1299" s="1"/>
      <c r="BW1299" s="1"/>
      <c r="BX1299" s="1"/>
      <c r="BY1299" s="1"/>
      <c r="BZ1299" s="1"/>
      <c r="CA1299" s="1"/>
      <c r="CB1299" s="1"/>
      <c r="CC1299" s="1"/>
      <c r="CD1299" s="1"/>
      <c r="CE1299" s="1"/>
      <c r="CF1299" s="1"/>
    </row>
    <row r="1300" spans="1:84" s="3" customFormat="1" ht="20" x14ac:dyDescent="0.2">
      <c r="A1300" s="17" t="s">
        <v>3921</v>
      </c>
      <c r="B1300" s="17" t="s">
        <v>45</v>
      </c>
      <c r="C1300" s="17">
        <v>2025</v>
      </c>
      <c r="D1300" s="17" t="str">
        <f t="array" ref="D1300">_xlfn.SWITCH(E1300,"Bagor","35.18.14","Sukomoro",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00" s="16" t="s">
        <v>157</v>
      </c>
      <c r="F1300" s="17" t="s">
        <v>2883</v>
      </c>
      <c r="G1300" s="17" t="s">
        <v>2884</v>
      </c>
      <c r="H1300" s="101" t="s">
        <v>31</v>
      </c>
      <c r="I1300" s="94">
        <v>0</v>
      </c>
      <c r="J1300" s="94">
        <v>2</v>
      </c>
      <c r="K1300" s="94">
        <f t="shared" si="38"/>
        <v>2</v>
      </c>
      <c r="L1300" s="38">
        <v>1500000</v>
      </c>
      <c r="M1300" s="17" t="s">
        <v>2858</v>
      </c>
      <c r="N1300" s="95"/>
      <c r="O1300" s="94" t="s">
        <v>422</v>
      </c>
      <c r="P1300" s="97">
        <v>5000000</v>
      </c>
      <c r="Q1300" s="96" t="s">
        <v>2859</v>
      </c>
      <c r="R1300" s="98"/>
      <c r="S1300" s="94" t="s">
        <v>422</v>
      </c>
      <c r="T1300" s="97"/>
      <c r="U1300" s="94" t="s">
        <v>22</v>
      </c>
      <c r="V1300" s="94"/>
      <c r="W1300" s="94"/>
      <c r="X1300" s="94"/>
      <c r="Y1300" s="94"/>
      <c r="Z1300" s="94"/>
      <c r="AA1300" s="94"/>
      <c r="AB1300" s="94"/>
      <c r="AC1300" s="94"/>
      <c r="AE1300" s="1"/>
      <c r="AF1300" s="2"/>
      <c r="AG1300" s="1"/>
      <c r="AH1300" s="1"/>
      <c r="AI1300" s="1"/>
      <c r="AJ1300" s="1"/>
      <c r="AK1300" s="1"/>
      <c r="AL1300" s="1"/>
      <c r="AM1300" s="1"/>
      <c r="AN1300" s="1"/>
      <c r="AO1300" s="1"/>
      <c r="AP1300" s="1"/>
      <c r="AQ1300" s="1"/>
      <c r="AR1300" s="1"/>
      <c r="AS1300" s="1"/>
      <c r="AT1300" s="1"/>
      <c r="AU1300" s="1"/>
      <c r="AV1300" s="1"/>
      <c r="AW1300" s="1"/>
      <c r="AX1300" s="1"/>
      <c r="AY1300" s="1"/>
      <c r="AZ1300" s="1"/>
      <c r="BA1300" s="1"/>
      <c r="BB1300" s="1"/>
      <c r="BC1300" s="1"/>
      <c r="BD1300" s="1"/>
      <c r="BE1300" s="1"/>
      <c r="BF1300" s="1"/>
      <c r="BG1300" s="1"/>
      <c r="BH1300" s="1"/>
      <c r="BI1300" s="1"/>
      <c r="BJ1300" s="1"/>
      <c r="BK1300" s="1"/>
      <c r="BL1300" s="1"/>
      <c r="BM1300" s="1"/>
      <c r="BN1300" s="1"/>
      <c r="BO1300" s="1"/>
      <c r="BP1300" s="1"/>
      <c r="BQ1300" s="1"/>
      <c r="BR1300" s="1"/>
      <c r="BS1300" s="1"/>
      <c r="BT1300" s="1"/>
      <c r="BU1300" s="1"/>
      <c r="BV1300" s="1"/>
      <c r="BW1300" s="1"/>
      <c r="BX1300" s="1"/>
      <c r="BY1300" s="1"/>
      <c r="BZ1300" s="1"/>
      <c r="CA1300" s="1"/>
      <c r="CB1300" s="1"/>
      <c r="CC1300" s="1"/>
      <c r="CD1300" s="1"/>
      <c r="CE1300" s="1"/>
      <c r="CF1300" s="1"/>
    </row>
    <row r="1301" spans="1:84" ht="20" x14ac:dyDescent="0.2">
      <c r="A1301" s="17" t="s">
        <v>3921</v>
      </c>
      <c r="B1301" s="17" t="s">
        <v>45</v>
      </c>
      <c r="C1301" s="17">
        <v>2025</v>
      </c>
      <c r="D1301" s="17" t="str">
        <f t="array" ref="D1301">_xlfn.SWITCH(E1301,"Bagor","35.18.14","Sukomoro",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01" s="16" t="s">
        <v>45</v>
      </c>
      <c r="F1301" s="17" t="s">
        <v>2885</v>
      </c>
      <c r="G1301" s="17" t="s">
        <v>2886</v>
      </c>
      <c r="H1301" s="101" t="s">
        <v>31</v>
      </c>
      <c r="I1301" s="94">
        <v>0</v>
      </c>
      <c r="J1301" s="94">
        <v>3</v>
      </c>
      <c r="K1301" s="94">
        <f t="shared" si="38"/>
        <v>3</v>
      </c>
      <c r="L1301" s="98">
        <v>5000000</v>
      </c>
      <c r="M1301" s="17" t="s">
        <v>2698</v>
      </c>
      <c r="N1301" s="95">
        <v>5000</v>
      </c>
      <c r="O1301" s="94" t="s">
        <v>49</v>
      </c>
      <c r="P1301" s="97">
        <f>N1301*2500</f>
        <v>12500000</v>
      </c>
      <c r="Q1301" s="96" t="s">
        <v>159</v>
      </c>
      <c r="R1301" s="98">
        <v>100</v>
      </c>
      <c r="S1301" s="94" t="s">
        <v>422</v>
      </c>
      <c r="T1301" s="97">
        <f>R1301*15000</f>
        <v>1500000</v>
      </c>
      <c r="U1301" s="94" t="s">
        <v>22</v>
      </c>
      <c r="V1301" s="94"/>
      <c r="W1301" s="94"/>
      <c r="X1301" s="94"/>
      <c r="Y1301" s="94">
        <v>100</v>
      </c>
      <c r="Z1301" s="94">
        <v>0</v>
      </c>
      <c r="AA1301" s="94">
        <v>0</v>
      </c>
      <c r="AB1301" s="94">
        <v>0</v>
      </c>
      <c r="AC1301" s="94"/>
    </row>
    <row r="1302" spans="1:84" ht="20" x14ac:dyDescent="0.2">
      <c r="A1302" s="17" t="s">
        <v>3921</v>
      </c>
      <c r="B1302" s="17" t="s">
        <v>45</v>
      </c>
      <c r="C1302" s="17">
        <v>2025</v>
      </c>
      <c r="D1302" s="17" t="str">
        <f t="array" ref="D1302">_xlfn.SWITCH(E1302,"Bagor","35.18.14","Sukomoro",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02" s="16" t="s">
        <v>157</v>
      </c>
      <c r="F1302" s="17" t="s">
        <v>2887</v>
      </c>
      <c r="G1302" s="17" t="s">
        <v>2888</v>
      </c>
      <c r="H1302" s="101" t="s">
        <v>31</v>
      </c>
      <c r="I1302" s="94">
        <v>0</v>
      </c>
      <c r="J1302" s="94">
        <v>2</v>
      </c>
      <c r="K1302" s="94">
        <f t="shared" si="38"/>
        <v>2</v>
      </c>
      <c r="L1302" s="98">
        <v>5000000</v>
      </c>
      <c r="M1302" s="17" t="s">
        <v>2698</v>
      </c>
      <c r="N1302" s="95">
        <v>5000</v>
      </c>
      <c r="O1302" s="94" t="s">
        <v>49</v>
      </c>
      <c r="P1302" s="97">
        <f>N1302*2500</f>
        <v>12500000</v>
      </c>
      <c r="Q1302" s="96" t="s">
        <v>159</v>
      </c>
      <c r="R1302" s="98">
        <v>100</v>
      </c>
      <c r="S1302" s="94" t="s">
        <v>422</v>
      </c>
      <c r="T1302" s="97">
        <f>R1302*15000</f>
        <v>1500000</v>
      </c>
      <c r="U1302" s="94" t="s">
        <v>22</v>
      </c>
      <c r="V1302" s="94"/>
      <c r="W1302" s="94"/>
      <c r="X1302" s="94"/>
      <c r="Y1302" s="94">
        <v>100</v>
      </c>
      <c r="Z1302" s="94">
        <v>0</v>
      </c>
      <c r="AA1302" s="94">
        <v>0</v>
      </c>
      <c r="AB1302" s="94">
        <v>0</v>
      </c>
      <c r="AC1302" s="94"/>
    </row>
    <row r="1303" spans="1:84" ht="20" x14ac:dyDescent="0.2">
      <c r="A1303" s="17" t="s">
        <v>3921</v>
      </c>
      <c r="B1303" s="17" t="s">
        <v>45</v>
      </c>
      <c r="C1303" s="17">
        <v>2025</v>
      </c>
      <c r="D1303" s="17" t="str">
        <f t="array" ref="D1303">_xlfn.SWITCH(E1303,"Bagor","35.18.14","Sukomoro",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03" s="16" t="s">
        <v>157</v>
      </c>
      <c r="F1303" s="17" t="s">
        <v>2889</v>
      </c>
      <c r="G1303" s="17" t="s">
        <v>2890</v>
      </c>
      <c r="H1303" s="101" t="s">
        <v>31</v>
      </c>
      <c r="I1303" s="94">
        <v>0</v>
      </c>
      <c r="J1303" s="94">
        <v>2</v>
      </c>
      <c r="K1303" s="94">
        <f t="shared" si="38"/>
        <v>2</v>
      </c>
      <c r="L1303" s="98">
        <v>5000000</v>
      </c>
      <c r="M1303" s="17" t="s">
        <v>2698</v>
      </c>
      <c r="N1303" s="95">
        <v>5000</v>
      </c>
      <c r="O1303" s="94" t="s">
        <v>49</v>
      </c>
      <c r="P1303" s="97">
        <f>N1303*2500</f>
        <v>12500000</v>
      </c>
      <c r="Q1303" s="96" t="s">
        <v>159</v>
      </c>
      <c r="R1303" s="98">
        <v>100</v>
      </c>
      <c r="S1303" s="94" t="s">
        <v>422</v>
      </c>
      <c r="T1303" s="97">
        <f>R1303*15000</f>
        <v>1500000</v>
      </c>
      <c r="U1303" s="94" t="s">
        <v>22</v>
      </c>
      <c r="V1303" s="94"/>
      <c r="W1303" s="94"/>
      <c r="X1303" s="94"/>
      <c r="Y1303" s="94">
        <v>100</v>
      </c>
      <c r="Z1303" s="94">
        <v>0</v>
      </c>
      <c r="AA1303" s="94">
        <v>0</v>
      </c>
      <c r="AB1303" s="94">
        <v>0</v>
      </c>
      <c r="AC1303" s="94"/>
    </row>
    <row r="1304" spans="1:84" ht="20" x14ac:dyDescent="0.2">
      <c r="A1304" s="17" t="s">
        <v>3921</v>
      </c>
      <c r="B1304" s="17" t="s">
        <v>45</v>
      </c>
      <c r="C1304" s="17">
        <v>2025</v>
      </c>
      <c r="D1304" s="17" t="str">
        <f t="array" ref="D1304">_xlfn.SWITCH(E1304,"Bagor","35.18.14","Sukomoro",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04" s="16" t="s">
        <v>157</v>
      </c>
      <c r="F1304" s="17" t="s">
        <v>2891</v>
      </c>
      <c r="G1304" s="17" t="s">
        <v>2892</v>
      </c>
      <c r="H1304" s="101" t="s">
        <v>31</v>
      </c>
      <c r="I1304" s="94">
        <v>2</v>
      </c>
      <c r="J1304" s="94">
        <v>3</v>
      </c>
      <c r="K1304" s="94">
        <f t="shared" si="38"/>
        <v>5</v>
      </c>
      <c r="L1304" s="95">
        <v>10000000</v>
      </c>
      <c r="M1304" s="17" t="s">
        <v>2893</v>
      </c>
      <c r="N1304" s="95"/>
      <c r="O1304" s="94" t="s">
        <v>2894</v>
      </c>
      <c r="P1304" s="97"/>
      <c r="Q1304" s="96" t="s">
        <v>2895</v>
      </c>
      <c r="R1304" s="98"/>
      <c r="S1304" s="94" t="s">
        <v>2896</v>
      </c>
      <c r="T1304" s="97"/>
      <c r="U1304" s="94" t="s">
        <v>22</v>
      </c>
      <c r="V1304" s="94"/>
      <c r="W1304" s="94"/>
      <c r="X1304" s="94"/>
      <c r="Y1304" s="94"/>
      <c r="Z1304" s="94"/>
      <c r="AA1304" s="94"/>
      <c r="AB1304" s="94"/>
      <c r="AC1304" s="94"/>
    </row>
    <row r="1305" spans="1:84" ht="20" x14ac:dyDescent="0.2">
      <c r="A1305" s="17" t="s">
        <v>3921</v>
      </c>
      <c r="B1305" s="17" t="s">
        <v>45</v>
      </c>
      <c r="C1305" s="17">
        <v>2025</v>
      </c>
      <c r="D1305" s="17" t="str">
        <f t="array" ref="D1305">_xlfn.SWITCH(E1305,"Jatikalen","35.18.20","Kertosono", "35.18.08","Lengkong","35.18.19","Loceret","35.18.04","Tanjunganom","35.18.11","Wilangan","35.18.15")</f>
        <v>35.18.04</v>
      </c>
      <c r="E1305" s="16" t="s">
        <v>41</v>
      </c>
      <c r="F1305" s="17" t="s">
        <v>2897</v>
      </c>
      <c r="G1305" s="17" t="s">
        <v>2898</v>
      </c>
      <c r="H1305" s="101" t="s">
        <v>31</v>
      </c>
      <c r="I1305" s="94">
        <v>0</v>
      </c>
      <c r="J1305" s="94">
        <v>2</v>
      </c>
      <c r="K1305" s="94">
        <f t="shared" si="38"/>
        <v>2</v>
      </c>
      <c r="L1305" s="95">
        <v>5000000</v>
      </c>
      <c r="M1305" s="17" t="s">
        <v>2899</v>
      </c>
      <c r="N1305" s="95"/>
      <c r="O1305" s="94" t="s">
        <v>2894</v>
      </c>
      <c r="P1305" s="97"/>
      <c r="Q1305" s="96" t="s">
        <v>2900</v>
      </c>
      <c r="R1305" s="98"/>
      <c r="S1305" s="94" t="s">
        <v>2869</v>
      </c>
      <c r="T1305" s="97"/>
      <c r="U1305" s="94" t="s">
        <v>22</v>
      </c>
      <c r="V1305" s="94"/>
      <c r="W1305" s="94"/>
      <c r="X1305" s="94"/>
      <c r="Y1305" s="94"/>
      <c r="Z1305" s="94"/>
      <c r="AA1305" s="94"/>
      <c r="AB1305" s="94"/>
      <c r="AC1305" s="94"/>
    </row>
    <row r="1306" spans="1:84" x14ac:dyDescent="0.2">
      <c r="A1306" s="17" t="s">
        <v>3921</v>
      </c>
      <c r="B1306" s="17" t="s">
        <v>45</v>
      </c>
      <c r="C1306" s="17">
        <v>2025</v>
      </c>
      <c r="D1306" s="17" t="str">
        <f t="array" ref="D1306">_xlfn.SWITCH(E1306,"Bagor","35.18.14","Sukomoro",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06" s="16" t="s">
        <v>45</v>
      </c>
      <c r="F1306" s="17" t="s">
        <v>2901</v>
      </c>
      <c r="G1306" s="17" t="s">
        <v>2902</v>
      </c>
      <c r="H1306" s="101" t="s">
        <v>31</v>
      </c>
      <c r="I1306" s="94">
        <v>0</v>
      </c>
      <c r="J1306" s="94">
        <v>3</v>
      </c>
      <c r="K1306" s="94">
        <f t="shared" si="38"/>
        <v>3</v>
      </c>
      <c r="L1306" s="98">
        <v>5000000</v>
      </c>
      <c r="M1306" s="17" t="s">
        <v>2698</v>
      </c>
      <c r="N1306" s="95">
        <v>5000</v>
      </c>
      <c r="O1306" s="94" t="s">
        <v>49</v>
      </c>
      <c r="P1306" s="97">
        <f>N1306*2500</f>
        <v>12500000</v>
      </c>
      <c r="Q1306" s="96" t="s">
        <v>159</v>
      </c>
      <c r="R1306" s="98">
        <v>100</v>
      </c>
      <c r="S1306" s="94" t="s">
        <v>422</v>
      </c>
      <c r="T1306" s="97">
        <f>R1306*15000</f>
        <v>1500000</v>
      </c>
      <c r="U1306" s="94" t="s">
        <v>22</v>
      </c>
      <c r="V1306" s="94"/>
      <c r="W1306" s="94"/>
      <c r="X1306" s="94"/>
      <c r="Y1306" s="94">
        <v>100</v>
      </c>
      <c r="Z1306" s="94">
        <v>0</v>
      </c>
      <c r="AA1306" s="94">
        <v>0</v>
      </c>
      <c r="AB1306" s="94">
        <v>0</v>
      </c>
      <c r="AC1306" s="94"/>
    </row>
    <row r="1307" spans="1:84" ht="20" x14ac:dyDescent="0.2">
      <c r="A1307" s="17" t="s">
        <v>3921</v>
      </c>
      <c r="B1307" s="17" t="s">
        <v>45</v>
      </c>
      <c r="C1307" s="17">
        <v>2025</v>
      </c>
      <c r="D1307" s="17" t="str">
        <f t="array" ref="D1307">_xlfn.SWITCH(E1307,"Bagor","35.18.14","Sukomoro",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307" s="16" t="s">
        <v>103</v>
      </c>
      <c r="F1307" s="17" t="s">
        <v>2903</v>
      </c>
      <c r="G1307" s="17" t="s">
        <v>2904</v>
      </c>
      <c r="H1307" s="101" t="s">
        <v>31</v>
      </c>
      <c r="I1307" s="94">
        <v>1</v>
      </c>
      <c r="J1307" s="94">
        <v>1</v>
      </c>
      <c r="K1307" s="94">
        <f t="shared" si="38"/>
        <v>2</v>
      </c>
      <c r="L1307" s="95">
        <v>5000000</v>
      </c>
      <c r="M1307" s="17" t="s">
        <v>2733</v>
      </c>
      <c r="N1307" s="95">
        <v>750</v>
      </c>
      <c r="O1307" s="16" t="s">
        <v>422</v>
      </c>
      <c r="P1307" s="97">
        <v>18000000</v>
      </c>
      <c r="Q1307" s="96" t="s">
        <v>1553</v>
      </c>
      <c r="R1307" s="98">
        <v>500</v>
      </c>
      <c r="S1307" s="94" t="s">
        <v>422</v>
      </c>
      <c r="T1307" s="97">
        <v>14000000</v>
      </c>
      <c r="U1307" s="94" t="s">
        <v>22</v>
      </c>
      <c r="V1307" s="94"/>
      <c r="W1307" s="94"/>
      <c r="X1307" s="94"/>
      <c r="Y1307" s="94"/>
      <c r="Z1307" s="94"/>
      <c r="AA1307" s="94"/>
      <c r="AB1307" s="119"/>
      <c r="AC1307" s="119"/>
    </row>
    <row r="1308" spans="1:84" x14ac:dyDescent="0.2">
      <c r="A1308" s="17" t="s">
        <v>3921</v>
      </c>
      <c r="B1308" s="17" t="s">
        <v>45</v>
      </c>
      <c r="C1308" s="17">
        <v>2025</v>
      </c>
      <c r="D1308" s="17" t="str">
        <f t="array" ref="D1308">_xlfn.SWITCH(E1308,"Bagor","35.18.14","Sukomoro",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308" s="16" t="s">
        <v>124</v>
      </c>
      <c r="F1308" s="17" t="s">
        <v>2905</v>
      </c>
      <c r="G1308" s="17" t="s">
        <v>2906</v>
      </c>
      <c r="H1308" s="101" t="s">
        <v>31</v>
      </c>
      <c r="I1308" s="94">
        <v>0</v>
      </c>
      <c r="J1308" s="94">
        <v>2</v>
      </c>
      <c r="K1308" s="94">
        <f t="shared" si="38"/>
        <v>2</v>
      </c>
      <c r="L1308" s="95">
        <v>10000000</v>
      </c>
      <c r="M1308" s="17" t="s">
        <v>2907</v>
      </c>
      <c r="N1308" s="95"/>
      <c r="O1308" s="94" t="s">
        <v>422</v>
      </c>
      <c r="P1308" s="97"/>
      <c r="Q1308" s="96" t="s">
        <v>2908</v>
      </c>
      <c r="R1308" s="98"/>
      <c r="S1308" s="94" t="s">
        <v>422</v>
      </c>
      <c r="T1308" s="97"/>
      <c r="U1308" s="94" t="s">
        <v>22</v>
      </c>
      <c r="V1308" s="94"/>
      <c r="W1308" s="94"/>
      <c r="X1308" s="94"/>
      <c r="Y1308" s="94"/>
      <c r="Z1308" s="94"/>
      <c r="AA1308" s="94"/>
      <c r="AB1308" s="94"/>
      <c r="AC1308" s="94"/>
    </row>
    <row r="1309" spans="1:84" ht="20" x14ac:dyDescent="0.2">
      <c r="A1309" s="17" t="s">
        <v>3921</v>
      </c>
      <c r="B1309" s="17" t="s">
        <v>45</v>
      </c>
      <c r="C1309" s="17">
        <v>2025</v>
      </c>
      <c r="D1309" s="17" t="str">
        <f t="array" ref="D1309">_xlfn.SWITCH(E1309,"Bagor","35.18.14","Sukomoro",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09" s="16" t="s">
        <v>45</v>
      </c>
      <c r="F1309" s="17" t="s">
        <v>2909</v>
      </c>
      <c r="G1309" s="17" t="s">
        <v>2910</v>
      </c>
      <c r="H1309" s="101" t="s">
        <v>31</v>
      </c>
      <c r="I1309" s="94">
        <v>1</v>
      </c>
      <c r="J1309" s="94">
        <v>2</v>
      </c>
      <c r="K1309" s="94">
        <f t="shared" si="38"/>
        <v>3</v>
      </c>
      <c r="L1309" s="98">
        <v>5000000</v>
      </c>
      <c r="M1309" s="17" t="s">
        <v>2698</v>
      </c>
      <c r="N1309" s="95">
        <v>5000</v>
      </c>
      <c r="O1309" s="94" t="s">
        <v>49</v>
      </c>
      <c r="P1309" s="97">
        <f>N1309*2500</f>
        <v>12500000</v>
      </c>
      <c r="Q1309" s="96" t="s">
        <v>159</v>
      </c>
      <c r="R1309" s="98">
        <v>100</v>
      </c>
      <c r="S1309" s="94" t="s">
        <v>422</v>
      </c>
      <c r="T1309" s="97">
        <f>R1309*15000</f>
        <v>1500000</v>
      </c>
      <c r="U1309" s="94" t="s">
        <v>22</v>
      </c>
      <c r="V1309" s="94"/>
      <c r="W1309" s="94"/>
      <c r="X1309" s="94"/>
      <c r="Y1309" s="94">
        <v>100</v>
      </c>
      <c r="Z1309" s="94">
        <v>0</v>
      </c>
      <c r="AA1309" s="94">
        <v>0</v>
      </c>
      <c r="AB1309" s="94">
        <v>0</v>
      </c>
      <c r="AC1309" s="94"/>
    </row>
    <row r="1310" spans="1:84" x14ac:dyDescent="0.2">
      <c r="A1310" s="17" t="s">
        <v>3921</v>
      </c>
      <c r="B1310" s="17" t="s">
        <v>45</v>
      </c>
      <c r="C1310" s="17">
        <v>2025</v>
      </c>
      <c r="D1310" s="17" t="str">
        <f t="array" ref="D1310">_xlfn.SWITCH(E1310,"Bagor","35.18.14","Sukomoro",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10" s="16" t="s">
        <v>140</v>
      </c>
      <c r="F1310" s="17" t="s">
        <v>2911</v>
      </c>
      <c r="G1310" s="17" t="s">
        <v>2912</v>
      </c>
      <c r="H1310" s="101" t="s">
        <v>31</v>
      </c>
      <c r="I1310" s="94">
        <v>0</v>
      </c>
      <c r="J1310" s="94">
        <v>2</v>
      </c>
      <c r="K1310" s="94">
        <f t="shared" si="38"/>
        <v>2</v>
      </c>
      <c r="L1310" s="95">
        <v>3000000</v>
      </c>
      <c r="M1310" s="17" t="s">
        <v>2747</v>
      </c>
      <c r="N1310" s="95">
        <v>200</v>
      </c>
      <c r="O1310" s="94" t="s">
        <v>35</v>
      </c>
      <c r="P1310" s="97">
        <f>N1310*55000</f>
        <v>11000000</v>
      </c>
      <c r="Q1310" s="96" t="s">
        <v>2657</v>
      </c>
      <c r="R1310" s="98">
        <v>1000</v>
      </c>
      <c r="S1310" s="94" t="s">
        <v>422</v>
      </c>
      <c r="T1310" s="97">
        <f>R1310*4000</f>
        <v>4000000</v>
      </c>
      <c r="U1310" s="94" t="s">
        <v>22</v>
      </c>
      <c r="V1310" s="94"/>
      <c r="W1310" s="94"/>
      <c r="X1310" s="94"/>
      <c r="Y1310" s="94">
        <v>90</v>
      </c>
      <c r="Z1310" s="94">
        <v>10</v>
      </c>
      <c r="AA1310" s="94">
        <v>0</v>
      </c>
      <c r="AB1310" s="94">
        <v>0</v>
      </c>
      <c r="AC1310" s="94"/>
    </row>
    <row r="1311" spans="1:84" x14ac:dyDescent="0.2">
      <c r="A1311" s="17" t="s">
        <v>3921</v>
      </c>
      <c r="B1311" s="17" t="s">
        <v>45</v>
      </c>
      <c r="C1311" s="17">
        <v>2025</v>
      </c>
      <c r="D1311" s="17" t="str">
        <f t="array" ref="D1311">_xlfn.SWITCH(E1311,"Bagor","35.18.14","Sukomoro",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11" s="16" t="s">
        <v>157</v>
      </c>
      <c r="F1311" s="139" t="s">
        <v>2913</v>
      </c>
      <c r="G1311" s="139" t="s">
        <v>2914</v>
      </c>
      <c r="H1311" s="140" t="s">
        <v>31</v>
      </c>
      <c r="I1311" s="141">
        <v>1</v>
      </c>
      <c r="J1311" s="141">
        <v>2</v>
      </c>
      <c r="K1311" s="94">
        <f t="shared" si="38"/>
        <v>3</v>
      </c>
      <c r="L1311" s="142">
        <v>5000000</v>
      </c>
      <c r="M1311" s="139" t="s">
        <v>2698</v>
      </c>
      <c r="N1311" s="143">
        <v>5000</v>
      </c>
      <c r="O1311" s="141" t="s">
        <v>49</v>
      </c>
      <c r="P1311" s="144">
        <f>N1311*2500</f>
        <v>12500000</v>
      </c>
      <c r="Q1311" s="145" t="s">
        <v>159</v>
      </c>
      <c r="R1311" s="142">
        <v>100</v>
      </c>
      <c r="S1311" s="141" t="s">
        <v>422</v>
      </c>
      <c r="T1311" s="144">
        <f>R1311*15000</f>
        <v>1500000</v>
      </c>
      <c r="U1311" s="141" t="s">
        <v>22</v>
      </c>
      <c r="V1311" s="141"/>
      <c r="W1311" s="141"/>
      <c r="X1311" s="141"/>
      <c r="Y1311" s="141">
        <v>100</v>
      </c>
      <c r="Z1311" s="141">
        <v>0</v>
      </c>
      <c r="AA1311" s="141">
        <v>0</v>
      </c>
      <c r="AB1311" s="141">
        <v>0</v>
      </c>
      <c r="AC1311" s="141"/>
    </row>
    <row r="1312" spans="1:84" s="146" customFormat="1" x14ac:dyDescent="0.2">
      <c r="A1312" s="17" t="s">
        <v>3921</v>
      </c>
      <c r="B1312" s="17" t="s">
        <v>45</v>
      </c>
      <c r="C1312" s="17">
        <v>2025</v>
      </c>
      <c r="D1312" s="17" t="str">
        <f t="array" ref="D1312">_xlfn.SWITCH(E1312,"Bagor","35.18.14","Sukomoro",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12" s="94" t="s">
        <v>45</v>
      </c>
      <c r="F1312" s="93" t="s">
        <v>2915</v>
      </c>
      <c r="G1312" s="93" t="s">
        <v>2916</v>
      </c>
      <c r="H1312" s="94" t="s">
        <v>2917</v>
      </c>
      <c r="I1312" s="94">
        <v>1</v>
      </c>
      <c r="J1312" s="94">
        <v>1</v>
      </c>
      <c r="K1312" s="94">
        <f t="shared" si="38"/>
        <v>2</v>
      </c>
      <c r="L1312" s="95">
        <v>10000000</v>
      </c>
      <c r="M1312" s="96" t="s">
        <v>2740</v>
      </c>
      <c r="N1312" s="95">
        <v>8000</v>
      </c>
      <c r="O1312" s="94" t="s">
        <v>2680</v>
      </c>
      <c r="P1312" s="97">
        <v>15000000</v>
      </c>
      <c r="Q1312" s="96" t="s">
        <v>2681</v>
      </c>
      <c r="R1312" s="98">
        <v>10000</v>
      </c>
      <c r="S1312" s="94" t="s">
        <v>2682</v>
      </c>
      <c r="T1312" s="97">
        <v>5000000</v>
      </c>
      <c r="U1312" s="94" t="s">
        <v>22</v>
      </c>
      <c r="V1312" s="94"/>
      <c r="W1312" s="94"/>
      <c r="X1312" s="94"/>
      <c r="Y1312" s="141">
        <v>100</v>
      </c>
      <c r="Z1312" s="141">
        <v>0</v>
      </c>
      <c r="AA1312" s="141">
        <v>0</v>
      </c>
      <c r="AB1312" s="141">
        <v>0</v>
      </c>
      <c r="AC1312" s="94"/>
      <c r="AD1312" s="12"/>
      <c r="AE1312" s="23"/>
      <c r="AF1312" s="2"/>
      <c r="AG1312" s="1"/>
      <c r="AH1312" s="1"/>
      <c r="AI1312" s="1"/>
      <c r="AJ1312" s="1"/>
      <c r="AK1312" s="1"/>
      <c r="AL1312" s="1"/>
      <c r="AM1312" s="1"/>
      <c r="AN1312" s="1"/>
      <c r="AO1312" s="1"/>
      <c r="AP1312" s="1"/>
      <c r="AQ1312" s="1"/>
      <c r="AR1312" s="1"/>
      <c r="AS1312" s="1"/>
      <c r="AT1312" s="1"/>
      <c r="AU1312" s="1"/>
      <c r="AV1312" s="1"/>
      <c r="AW1312" s="1"/>
      <c r="AX1312" s="1"/>
      <c r="AY1312" s="1"/>
      <c r="AZ1312" s="1"/>
      <c r="BA1312" s="1"/>
      <c r="BB1312" s="1"/>
      <c r="BC1312" s="1"/>
      <c r="BD1312" s="1"/>
      <c r="BE1312" s="1"/>
      <c r="BF1312" s="1"/>
      <c r="BG1312" s="1"/>
      <c r="BH1312" s="1"/>
      <c r="BI1312" s="1"/>
      <c r="BJ1312" s="1"/>
      <c r="BK1312" s="1"/>
      <c r="BL1312" s="1"/>
      <c r="BM1312" s="1"/>
      <c r="BN1312" s="1"/>
      <c r="BO1312" s="1"/>
      <c r="BP1312" s="1"/>
      <c r="BQ1312" s="1"/>
      <c r="BR1312" s="1"/>
      <c r="BS1312" s="1"/>
      <c r="BT1312" s="1"/>
      <c r="BU1312" s="1"/>
      <c r="BV1312" s="1"/>
      <c r="BW1312" s="1"/>
      <c r="BX1312" s="1"/>
      <c r="BY1312" s="1"/>
      <c r="BZ1312" s="1"/>
      <c r="CA1312" s="1"/>
      <c r="CB1312" s="1"/>
      <c r="CC1312" s="1"/>
      <c r="CD1312" s="1"/>
      <c r="CE1312" s="1"/>
      <c r="CF1312" s="1"/>
    </row>
    <row r="1313" spans="1:84" s="146" customFormat="1" x14ac:dyDescent="0.2">
      <c r="A1313" s="17" t="s">
        <v>3921</v>
      </c>
      <c r="B1313" s="17" t="s">
        <v>45</v>
      </c>
      <c r="C1313" s="17">
        <v>2025</v>
      </c>
      <c r="D1313" s="17" t="str">
        <f t="array" ref="D1313">_xlfn.SWITCH(E1313,"Bagor","35.18.14","Sukomoro",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13" s="94" t="s">
        <v>140</v>
      </c>
      <c r="F1313" s="93" t="s">
        <v>2918</v>
      </c>
      <c r="G1313" s="93" t="s">
        <v>2919</v>
      </c>
      <c r="H1313" s="94" t="s">
        <v>47</v>
      </c>
      <c r="I1313" s="94">
        <v>2</v>
      </c>
      <c r="J1313" s="94">
        <v>3</v>
      </c>
      <c r="K1313" s="94">
        <f t="shared" si="38"/>
        <v>5</v>
      </c>
      <c r="L1313" s="95">
        <v>750000</v>
      </c>
      <c r="M1313" s="96" t="s">
        <v>2718</v>
      </c>
      <c r="N1313" s="95">
        <v>50</v>
      </c>
      <c r="O1313" s="94" t="s">
        <v>35</v>
      </c>
      <c r="P1313" s="97">
        <v>2500000</v>
      </c>
      <c r="Q1313" s="96" t="s">
        <v>2920</v>
      </c>
      <c r="R1313" s="98">
        <v>150</v>
      </c>
      <c r="S1313" s="94" t="s">
        <v>422</v>
      </c>
      <c r="T1313" s="97">
        <v>3000000</v>
      </c>
      <c r="U1313" s="94" t="s">
        <v>22</v>
      </c>
      <c r="V1313" s="94"/>
      <c r="W1313" s="94"/>
      <c r="X1313" s="94"/>
      <c r="Y1313" s="94">
        <v>100</v>
      </c>
      <c r="Z1313" s="94">
        <v>0</v>
      </c>
      <c r="AA1313" s="94">
        <v>0</v>
      </c>
      <c r="AB1313" s="94">
        <v>0</v>
      </c>
      <c r="AC1313" s="94"/>
      <c r="AD1313" s="12"/>
      <c r="AE1313" s="23"/>
      <c r="AF1313" s="2"/>
      <c r="AG1313" s="1"/>
      <c r="AH1313" s="1"/>
      <c r="AI1313" s="1"/>
      <c r="AJ1313" s="1"/>
      <c r="AK1313" s="1"/>
      <c r="AL1313" s="1"/>
      <c r="AM1313" s="1"/>
      <c r="AN1313" s="1"/>
      <c r="AO1313" s="1"/>
      <c r="AP1313" s="1"/>
      <c r="AQ1313" s="1"/>
      <c r="AR1313" s="1"/>
      <c r="AS1313" s="1"/>
      <c r="AT1313" s="1"/>
      <c r="AU1313" s="1"/>
      <c r="AV1313" s="1"/>
      <c r="AW1313" s="1"/>
      <c r="AX1313" s="1"/>
      <c r="AY1313" s="1"/>
      <c r="AZ1313" s="1"/>
      <c r="BA1313" s="1"/>
      <c r="BB1313" s="1"/>
      <c r="BC1313" s="1"/>
      <c r="BD1313" s="1"/>
      <c r="BE1313" s="1"/>
      <c r="BF1313" s="1"/>
      <c r="BG1313" s="1"/>
      <c r="BH1313" s="1"/>
      <c r="BI1313" s="1"/>
      <c r="BJ1313" s="1"/>
      <c r="BK1313" s="1"/>
      <c r="BL1313" s="1"/>
      <c r="BM1313" s="1"/>
      <c r="BN1313" s="1"/>
      <c r="BO1313" s="1"/>
      <c r="BP1313" s="1"/>
      <c r="BQ1313" s="1"/>
      <c r="BR1313" s="1"/>
      <c r="BS1313" s="1"/>
      <c r="BT1313" s="1"/>
      <c r="BU1313" s="1"/>
      <c r="BV1313" s="1"/>
      <c r="BW1313" s="1"/>
      <c r="BX1313" s="1"/>
      <c r="BY1313" s="1"/>
      <c r="BZ1313" s="1"/>
      <c r="CA1313" s="1"/>
      <c r="CB1313" s="1"/>
      <c r="CC1313" s="1"/>
      <c r="CD1313" s="1"/>
      <c r="CE1313" s="1"/>
      <c r="CF1313" s="1"/>
    </row>
    <row r="1314" spans="1:84" s="146" customFormat="1" x14ac:dyDescent="0.2">
      <c r="A1314" s="17" t="s">
        <v>3921</v>
      </c>
      <c r="B1314" s="17" t="s">
        <v>45</v>
      </c>
      <c r="C1314" s="17">
        <v>2025</v>
      </c>
      <c r="D1314" s="17" t="str">
        <f t="array" ref="D1314">_xlfn.SWITCH(E1314,"Bagor","35.18.14","Sukomoro",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314" s="94" t="s">
        <v>103</v>
      </c>
      <c r="F1314" s="93" t="s">
        <v>2921</v>
      </c>
      <c r="G1314" s="93" t="s">
        <v>2892</v>
      </c>
      <c r="H1314" s="94" t="s">
        <v>2917</v>
      </c>
      <c r="I1314" s="94">
        <v>1</v>
      </c>
      <c r="J1314" s="94">
        <v>1</v>
      </c>
      <c r="K1314" s="94">
        <f t="shared" si="38"/>
        <v>2</v>
      </c>
      <c r="L1314" s="95">
        <v>500000</v>
      </c>
      <c r="M1314" s="96" t="s">
        <v>2718</v>
      </c>
      <c r="N1314" s="95">
        <v>200</v>
      </c>
      <c r="O1314" s="94" t="s">
        <v>2341</v>
      </c>
      <c r="P1314" s="97">
        <v>2000000</v>
      </c>
      <c r="Q1314" s="96" t="s">
        <v>2920</v>
      </c>
      <c r="R1314" s="98">
        <v>200</v>
      </c>
      <c r="S1314" s="94" t="s">
        <v>422</v>
      </c>
      <c r="T1314" s="97">
        <v>2410000</v>
      </c>
      <c r="U1314" s="94" t="s">
        <v>22</v>
      </c>
      <c r="V1314" s="94"/>
      <c r="W1314" s="94"/>
      <c r="X1314" s="94"/>
      <c r="Y1314" s="94">
        <v>100</v>
      </c>
      <c r="Z1314" s="94">
        <v>0</v>
      </c>
      <c r="AA1314" s="94">
        <v>0</v>
      </c>
      <c r="AB1314" s="94">
        <v>0</v>
      </c>
      <c r="AC1314" s="94"/>
      <c r="AD1314" s="12"/>
      <c r="AE1314" s="23"/>
      <c r="AF1314" s="2"/>
      <c r="AG1314" s="1"/>
      <c r="AH1314" s="1"/>
      <c r="AI1314" s="1"/>
      <c r="AJ1314" s="1"/>
      <c r="AK1314" s="1"/>
      <c r="AL1314" s="1"/>
      <c r="AM1314" s="1"/>
      <c r="AN1314" s="1"/>
      <c r="AO1314" s="1"/>
      <c r="AP1314" s="1"/>
      <c r="AQ1314" s="1"/>
      <c r="AR1314" s="1"/>
      <c r="AS1314" s="1"/>
      <c r="AT1314" s="1"/>
      <c r="AU1314" s="1"/>
      <c r="AV1314" s="1"/>
      <c r="AW1314" s="1"/>
      <c r="AX1314" s="1"/>
      <c r="AY1314" s="1"/>
      <c r="AZ1314" s="1"/>
      <c r="BA1314" s="1"/>
      <c r="BB1314" s="1"/>
      <c r="BC1314" s="1"/>
      <c r="BD1314" s="1"/>
      <c r="BE1314" s="1"/>
      <c r="BF1314" s="1"/>
      <c r="BG1314" s="1"/>
      <c r="BH1314" s="1"/>
      <c r="BI1314" s="1"/>
      <c r="BJ1314" s="1"/>
      <c r="BK1314" s="1"/>
      <c r="BL1314" s="1"/>
      <c r="BM1314" s="1"/>
      <c r="BN1314" s="1"/>
      <c r="BO1314" s="1"/>
      <c r="BP1314" s="1"/>
      <c r="BQ1314" s="1"/>
      <c r="BR1314" s="1"/>
      <c r="BS1314" s="1"/>
      <c r="BT1314" s="1"/>
      <c r="BU1314" s="1"/>
      <c r="BV1314" s="1"/>
      <c r="BW1314" s="1"/>
      <c r="BX1314" s="1"/>
      <c r="BY1314" s="1"/>
      <c r="BZ1314" s="1"/>
      <c r="CA1314" s="1"/>
      <c r="CB1314" s="1"/>
      <c r="CC1314" s="1"/>
      <c r="CD1314" s="1"/>
      <c r="CE1314" s="1"/>
      <c r="CF1314" s="1"/>
    </row>
    <row r="1315" spans="1:84" s="158" customFormat="1" x14ac:dyDescent="0.2">
      <c r="A1315" s="17" t="s">
        <v>3921</v>
      </c>
      <c r="B1315" s="17" t="s">
        <v>45</v>
      </c>
      <c r="C1315" s="17">
        <v>2025</v>
      </c>
      <c r="D1315" s="17" t="str">
        <f t="array" ref="D1315">_xlfn.SWITCH(E1315,"Bagor","35.18.14","Sukomoro",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15" s="148" t="s">
        <v>29</v>
      </c>
      <c r="F1315" s="147" t="s">
        <v>2922</v>
      </c>
      <c r="G1315" s="147" t="s">
        <v>2923</v>
      </c>
      <c r="H1315" s="148" t="s">
        <v>2917</v>
      </c>
      <c r="I1315" s="148">
        <v>1</v>
      </c>
      <c r="J1315" s="148">
        <v>1</v>
      </c>
      <c r="K1315" s="148">
        <f t="shared" si="38"/>
        <v>2</v>
      </c>
      <c r="L1315" s="149">
        <v>1500000</v>
      </c>
      <c r="M1315" s="150" t="s">
        <v>2924</v>
      </c>
      <c r="N1315" s="149">
        <v>4000</v>
      </c>
      <c r="O1315" s="148" t="s">
        <v>2341</v>
      </c>
      <c r="P1315" s="149">
        <v>4000000</v>
      </c>
      <c r="Q1315" s="151" t="s">
        <v>2925</v>
      </c>
      <c r="R1315" s="152">
        <v>40</v>
      </c>
      <c r="S1315" s="148" t="s">
        <v>422</v>
      </c>
      <c r="T1315" s="153">
        <v>960000</v>
      </c>
      <c r="U1315" s="148" t="s">
        <v>2926</v>
      </c>
      <c r="V1315" s="148"/>
      <c r="W1315" s="148"/>
      <c r="X1315" s="148"/>
      <c r="Y1315" s="148">
        <v>100</v>
      </c>
      <c r="Z1315" s="148">
        <v>0</v>
      </c>
      <c r="AA1315" s="148">
        <v>0</v>
      </c>
      <c r="AB1315" s="148">
        <v>0</v>
      </c>
      <c r="AC1315" s="148"/>
      <c r="AD1315" s="154"/>
      <c r="AE1315" s="155"/>
      <c r="AF1315" s="156"/>
      <c r="AG1315" s="157"/>
      <c r="AH1315" s="157"/>
      <c r="AI1315" s="157"/>
      <c r="AJ1315" s="157"/>
      <c r="AK1315" s="157"/>
      <c r="AL1315" s="157"/>
      <c r="AM1315" s="157"/>
      <c r="AN1315" s="157"/>
      <c r="AO1315" s="157"/>
      <c r="AP1315" s="157"/>
      <c r="AQ1315" s="157"/>
      <c r="AR1315" s="157"/>
      <c r="AS1315" s="157"/>
      <c r="AT1315" s="157"/>
      <c r="AU1315" s="157"/>
      <c r="AV1315" s="157"/>
      <c r="AW1315" s="157"/>
      <c r="AX1315" s="157"/>
      <c r="AY1315" s="157"/>
      <c r="AZ1315" s="157"/>
      <c r="BA1315" s="157"/>
      <c r="BB1315" s="157"/>
      <c r="BC1315" s="157"/>
      <c r="BD1315" s="157"/>
      <c r="BE1315" s="157"/>
      <c r="BF1315" s="157"/>
      <c r="BG1315" s="157"/>
      <c r="BH1315" s="157"/>
      <c r="BI1315" s="157"/>
      <c r="BJ1315" s="157"/>
      <c r="BK1315" s="157"/>
      <c r="BL1315" s="157"/>
      <c r="BM1315" s="157"/>
      <c r="BN1315" s="157"/>
      <c r="BO1315" s="157"/>
      <c r="BP1315" s="157"/>
      <c r="BQ1315" s="157"/>
      <c r="BR1315" s="157"/>
      <c r="BS1315" s="157"/>
      <c r="BT1315" s="157"/>
      <c r="BU1315" s="157"/>
      <c r="BV1315" s="157"/>
      <c r="BW1315" s="157"/>
      <c r="BX1315" s="157"/>
      <c r="BY1315" s="157"/>
      <c r="BZ1315" s="157"/>
      <c r="CA1315" s="157"/>
      <c r="CB1315" s="157"/>
      <c r="CC1315" s="157"/>
      <c r="CD1315" s="157"/>
      <c r="CE1315" s="157"/>
      <c r="CF1315" s="157"/>
    </row>
    <row r="1316" spans="1:84" s="158" customFormat="1" x14ac:dyDescent="0.2">
      <c r="A1316" s="17" t="s">
        <v>3921</v>
      </c>
      <c r="B1316" s="17" t="s">
        <v>45</v>
      </c>
      <c r="C1316" s="17">
        <v>2025</v>
      </c>
      <c r="D1316" s="17" t="str">
        <f t="array" ref="D1316">_xlfn.SWITCH(E1316,"Jatikalen","35.18.20","Kertosono", "35.18.08","Lengkong","35.18.19","Loceret","35.18.04","Tanjunganom","35.18.11","Wilangan","35.18.15")</f>
        <v>35.18.04</v>
      </c>
      <c r="E1316" s="148" t="s">
        <v>41</v>
      </c>
      <c r="F1316" s="147" t="s">
        <v>2927</v>
      </c>
      <c r="G1316" s="147" t="s">
        <v>2928</v>
      </c>
      <c r="H1316" s="148" t="s">
        <v>2917</v>
      </c>
      <c r="I1316" s="148">
        <v>4</v>
      </c>
      <c r="J1316" s="148">
        <v>2</v>
      </c>
      <c r="K1316" s="148">
        <f t="shared" si="38"/>
        <v>6</v>
      </c>
      <c r="L1316" s="95">
        <v>20000000</v>
      </c>
      <c r="M1316" s="151" t="s">
        <v>258</v>
      </c>
      <c r="N1316" s="95">
        <v>12000</v>
      </c>
      <c r="O1316" s="94" t="s">
        <v>1803</v>
      </c>
      <c r="P1316" s="97">
        <v>125000000</v>
      </c>
      <c r="Q1316" s="96" t="s">
        <v>1958</v>
      </c>
      <c r="R1316" s="95">
        <v>120000</v>
      </c>
      <c r="S1316" s="94" t="s">
        <v>422</v>
      </c>
      <c r="T1316" s="97">
        <f>P1316/2</f>
        <v>62500000</v>
      </c>
      <c r="U1316" s="94" t="s">
        <v>22</v>
      </c>
      <c r="V1316" s="94"/>
      <c r="W1316" s="94"/>
      <c r="X1316" s="94"/>
      <c r="Y1316" s="94">
        <v>75</v>
      </c>
      <c r="Z1316" s="94">
        <v>25</v>
      </c>
      <c r="AA1316" s="94">
        <v>0</v>
      </c>
      <c r="AB1316" s="94">
        <v>0</v>
      </c>
      <c r="AC1316" s="94"/>
      <c r="AD1316" s="154"/>
      <c r="AE1316" s="155"/>
      <c r="AF1316" s="156"/>
      <c r="AG1316" s="157"/>
      <c r="AH1316" s="157"/>
      <c r="AI1316" s="157"/>
      <c r="AJ1316" s="157"/>
      <c r="AK1316" s="157"/>
      <c r="AL1316" s="157"/>
      <c r="AM1316" s="157"/>
      <c r="AN1316" s="157"/>
      <c r="AO1316" s="157"/>
      <c r="AP1316" s="157"/>
      <c r="AQ1316" s="157"/>
      <c r="AR1316" s="157"/>
      <c r="AS1316" s="157"/>
      <c r="AT1316" s="157"/>
      <c r="AU1316" s="157"/>
      <c r="AV1316" s="157"/>
      <c r="AW1316" s="157"/>
      <c r="AX1316" s="157"/>
      <c r="AY1316" s="157"/>
      <c r="AZ1316" s="157"/>
      <c r="BA1316" s="157"/>
      <c r="BB1316" s="157"/>
      <c r="BC1316" s="157"/>
      <c r="BD1316" s="157"/>
      <c r="BE1316" s="157"/>
      <c r="BF1316" s="157"/>
      <c r="BG1316" s="157"/>
      <c r="BH1316" s="157"/>
      <c r="BI1316" s="157"/>
      <c r="BJ1316" s="157"/>
      <c r="BK1316" s="157"/>
      <c r="BL1316" s="157"/>
      <c r="BM1316" s="157"/>
      <c r="BN1316" s="157"/>
      <c r="BO1316" s="157"/>
      <c r="BP1316" s="157"/>
      <c r="BQ1316" s="157"/>
      <c r="BR1316" s="157"/>
      <c r="BS1316" s="157"/>
      <c r="BT1316" s="157"/>
      <c r="BU1316" s="157"/>
      <c r="BV1316" s="157"/>
      <c r="BW1316" s="157"/>
      <c r="BX1316" s="157"/>
      <c r="BY1316" s="157"/>
      <c r="BZ1316" s="157"/>
      <c r="CA1316" s="157"/>
      <c r="CB1316" s="157"/>
      <c r="CC1316" s="157"/>
      <c r="CD1316" s="157"/>
      <c r="CE1316" s="157"/>
      <c r="CF1316" s="157"/>
    </row>
    <row r="1317" spans="1:84" s="162" customFormat="1" ht="20" x14ac:dyDescent="0.35">
      <c r="A1317" s="17" t="s">
        <v>3921</v>
      </c>
      <c r="B1317" s="17" t="s">
        <v>45</v>
      </c>
      <c r="C1317" s="17">
        <v>2025</v>
      </c>
      <c r="D1317" s="17" t="str">
        <f t="array" ref="D1317">_xlfn.SWITCH(E1317,"Bagor","35.18.14","Sukomoro",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17" s="160" t="s">
        <v>45</v>
      </c>
      <c r="F1317" s="159" t="s">
        <v>2929</v>
      </c>
      <c r="G1317" s="159" t="s">
        <v>2930</v>
      </c>
      <c r="H1317" s="160" t="s">
        <v>2917</v>
      </c>
      <c r="I1317" s="124">
        <v>1</v>
      </c>
      <c r="J1317" s="124">
        <v>0</v>
      </c>
      <c r="K1317" s="124">
        <f t="shared" si="38"/>
        <v>1</v>
      </c>
      <c r="L1317" s="127">
        <v>5000000</v>
      </c>
      <c r="M1317" s="125" t="s">
        <v>2706</v>
      </c>
      <c r="N1317" s="131">
        <v>250</v>
      </c>
      <c r="O1317" s="124" t="s">
        <v>35</v>
      </c>
      <c r="P1317" s="161">
        <f>N1317*60000</f>
        <v>15000000</v>
      </c>
      <c r="Q1317" s="125" t="s">
        <v>2707</v>
      </c>
      <c r="R1317" s="127">
        <v>400</v>
      </c>
      <c r="S1317" s="124" t="s">
        <v>422</v>
      </c>
      <c r="T1317" s="161">
        <f>R1317*25000</f>
        <v>10000000</v>
      </c>
      <c r="U1317" s="124" t="s">
        <v>22</v>
      </c>
      <c r="V1317" s="124"/>
      <c r="W1317" s="124"/>
      <c r="X1317" s="124"/>
      <c r="Y1317" s="124">
        <v>80</v>
      </c>
      <c r="Z1317" s="124">
        <v>20</v>
      </c>
      <c r="AA1317" s="124">
        <v>0</v>
      </c>
      <c r="AB1317" s="124">
        <v>0</v>
      </c>
      <c r="AC1317" s="124"/>
      <c r="AD1317" s="136"/>
      <c r="AE1317" s="137"/>
      <c r="AF1317" s="138"/>
    </row>
    <row r="1318" spans="1:84" s="162" customFormat="1" ht="20" x14ac:dyDescent="0.35">
      <c r="A1318" s="17" t="s">
        <v>3921</v>
      </c>
      <c r="B1318" s="17" t="s">
        <v>45</v>
      </c>
      <c r="C1318" s="17">
        <v>2025</v>
      </c>
      <c r="D1318" s="17" t="str">
        <f t="array" ref="D1318">_xlfn.SWITCH(E1318,"Bagor","35.18.14","Sukomoro",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318" s="160" t="s">
        <v>92</v>
      </c>
      <c r="F1318" s="163" t="s">
        <v>2931</v>
      </c>
      <c r="G1318" s="159" t="s">
        <v>2932</v>
      </c>
      <c r="H1318" s="160" t="s">
        <v>2917</v>
      </c>
      <c r="I1318" s="124">
        <v>2</v>
      </c>
      <c r="J1318" s="124">
        <v>2</v>
      </c>
      <c r="K1318" s="124">
        <f>SUM(I1318:J1318)</f>
        <v>4</v>
      </c>
      <c r="L1318" s="131">
        <v>2500000</v>
      </c>
      <c r="M1318" s="125" t="s">
        <v>2733</v>
      </c>
      <c r="N1318" s="164">
        <v>500</v>
      </c>
      <c r="O1318" s="124" t="s">
        <v>35</v>
      </c>
      <c r="P1318" s="165">
        <v>15000000</v>
      </c>
      <c r="Q1318" s="134" t="s">
        <v>1553</v>
      </c>
      <c r="R1318" s="166">
        <v>450</v>
      </c>
      <c r="S1318" s="124" t="s">
        <v>422</v>
      </c>
      <c r="T1318" s="164">
        <v>10000000</v>
      </c>
      <c r="U1318" s="124" t="s">
        <v>22</v>
      </c>
      <c r="V1318" s="124"/>
      <c r="W1318" s="124"/>
      <c r="X1318" s="124"/>
      <c r="Y1318" s="124">
        <v>30</v>
      </c>
      <c r="Z1318" s="124">
        <v>30</v>
      </c>
      <c r="AA1318" s="124">
        <v>40</v>
      </c>
      <c r="AB1318" s="124">
        <v>0</v>
      </c>
      <c r="AC1318" s="124"/>
      <c r="AD1318" s="167"/>
      <c r="AF1318" s="168"/>
    </row>
    <row r="1319" spans="1:84" s="162" customFormat="1" ht="30" x14ac:dyDescent="0.35">
      <c r="A1319" s="17" t="s">
        <v>3921</v>
      </c>
      <c r="B1319" s="17" t="s">
        <v>45</v>
      </c>
      <c r="C1319" s="17">
        <v>2025</v>
      </c>
      <c r="D1319" s="17" t="str">
        <f t="array" ref="D1319">_xlfn.SWITCH(E1319,"Bagor","35.18.14","Sukomoro",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19" s="160" t="s">
        <v>45</v>
      </c>
      <c r="F1319" s="159" t="s">
        <v>2933</v>
      </c>
      <c r="G1319" s="159" t="s">
        <v>2934</v>
      </c>
      <c r="H1319" s="160" t="s">
        <v>2917</v>
      </c>
      <c r="I1319" s="160"/>
      <c r="J1319" s="160">
        <v>2</v>
      </c>
      <c r="K1319" s="160">
        <v>2</v>
      </c>
      <c r="L1319" s="18">
        <v>20000000</v>
      </c>
      <c r="M1319" s="17" t="s">
        <v>1367</v>
      </c>
      <c r="N1319" s="18">
        <v>3000</v>
      </c>
      <c r="O1319" s="16" t="s">
        <v>1368</v>
      </c>
      <c r="P1319" s="30">
        <v>60000000</v>
      </c>
      <c r="Q1319" s="17" t="s">
        <v>1369</v>
      </c>
      <c r="R1319" s="18">
        <v>3500</v>
      </c>
      <c r="S1319" s="16" t="s">
        <v>1368</v>
      </c>
      <c r="T1319" s="30">
        <f>R1319*60000</f>
        <v>210000000</v>
      </c>
      <c r="U1319" s="16" t="s">
        <v>22</v>
      </c>
      <c r="V1319" s="16" t="s">
        <v>1370</v>
      </c>
      <c r="W1319" s="16"/>
      <c r="X1319" s="16"/>
      <c r="Y1319" s="16">
        <v>60</v>
      </c>
      <c r="Z1319" s="16">
        <v>40</v>
      </c>
      <c r="AA1319" s="16">
        <v>0</v>
      </c>
      <c r="AB1319" s="16">
        <v>0</v>
      </c>
      <c r="AC1319" s="16"/>
      <c r="AD1319" s="167"/>
      <c r="AF1319" s="168"/>
    </row>
    <row r="1320" spans="1:84" s="162" customFormat="1" ht="30" x14ac:dyDescent="0.2">
      <c r="A1320" s="17" t="s">
        <v>3921</v>
      </c>
      <c r="B1320" s="17" t="s">
        <v>45</v>
      </c>
      <c r="C1320" s="17">
        <v>2025</v>
      </c>
      <c r="D1320" s="17" t="str">
        <f t="array" ref="D1320">_xlfn.SWITCH(E1320,"Bagor","35.18.14","Sukomoro",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20" s="160" t="s">
        <v>29</v>
      </c>
      <c r="F1320" s="159" t="s">
        <v>2935</v>
      </c>
      <c r="G1320" s="159" t="s">
        <v>2936</v>
      </c>
      <c r="H1320" s="160" t="s">
        <v>2917</v>
      </c>
      <c r="I1320" s="160"/>
      <c r="J1320" s="160">
        <v>2</v>
      </c>
      <c r="K1320" s="160">
        <v>2</v>
      </c>
      <c r="L1320" s="169">
        <v>5000000</v>
      </c>
      <c r="M1320" s="150" t="s">
        <v>2937</v>
      </c>
      <c r="N1320" s="95">
        <v>250</v>
      </c>
      <c r="O1320" s="94" t="s">
        <v>35</v>
      </c>
      <c r="P1320" s="97">
        <f>N1320*60000</f>
        <v>15000000</v>
      </c>
      <c r="Q1320" s="96" t="s">
        <v>2707</v>
      </c>
      <c r="R1320" s="98">
        <v>400</v>
      </c>
      <c r="S1320" s="94" t="s">
        <v>422</v>
      </c>
      <c r="T1320" s="97">
        <f>R1320*25000</f>
        <v>10000000</v>
      </c>
      <c r="U1320" s="94" t="s">
        <v>22</v>
      </c>
      <c r="V1320" s="94"/>
      <c r="W1320" s="94"/>
      <c r="X1320" s="94"/>
      <c r="Y1320" s="94">
        <v>80</v>
      </c>
      <c r="Z1320" s="94">
        <v>20</v>
      </c>
      <c r="AA1320" s="94">
        <v>0</v>
      </c>
      <c r="AB1320" s="94">
        <v>0</v>
      </c>
      <c r="AC1320" s="94"/>
      <c r="AD1320" s="167"/>
      <c r="AF1320" s="168"/>
    </row>
    <row r="1321" spans="1:84" s="162" customFormat="1" ht="20" x14ac:dyDescent="0.35">
      <c r="A1321" s="17" t="s">
        <v>3921</v>
      </c>
      <c r="B1321" s="17" t="s">
        <v>45</v>
      </c>
      <c r="C1321" s="17">
        <v>2025</v>
      </c>
      <c r="D1321" s="17" t="str">
        <f t="array" ref="D1321">_xlfn.SWITCH(E1321,"Bagor","35.18.14","Sukomoro",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21" s="160" t="s">
        <v>45</v>
      </c>
      <c r="F1321" s="159" t="s">
        <v>2938</v>
      </c>
      <c r="G1321" s="159" t="s">
        <v>2939</v>
      </c>
      <c r="H1321" s="160" t="s">
        <v>2917</v>
      </c>
      <c r="I1321" s="160">
        <v>1</v>
      </c>
      <c r="J1321" s="160">
        <v>1</v>
      </c>
      <c r="K1321" s="160">
        <v>2</v>
      </c>
      <c r="L1321" s="18">
        <v>15000000</v>
      </c>
      <c r="M1321" s="17" t="s">
        <v>1073</v>
      </c>
      <c r="N1321" s="18">
        <v>1500</v>
      </c>
      <c r="O1321" s="16" t="s">
        <v>445</v>
      </c>
      <c r="P1321" s="30">
        <f>N1321*75000</f>
        <v>112500000</v>
      </c>
      <c r="Q1321" s="17" t="s">
        <v>1125</v>
      </c>
      <c r="R1321" s="18">
        <v>2500</v>
      </c>
      <c r="S1321" s="16" t="s">
        <v>97</v>
      </c>
      <c r="T1321" s="45">
        <f>R1321*25000</f>
        <v>62500000</v>
      </c>
      <c r="U1321" s="16" t="s">
        <v>22</v>
      </c>
      <c r="V1321" s="16">
        <v>0</v>
      </c>
      <c r="W1321" s="16">
        <v>0</v>
      </c>
      <c r="X1321" s="16">
        <v>0</v>
      </c>
      <c r="Y1321" s="16">
        <v>50</v>
      </c>
      <c r="Z1321" s="16">
        <v>50</v>
      </c>
      <c r="AA1321" s="16">
        <v>0</v>
      </c>
      <c r="AB1321" s="16">
        <v>0</v>
      </c>
      <c r="AC1321" s="16"/>
      <c r="AD1321" s="167"/>
      <c r="AF1321" s="168"/>
    </row>
    <row r="1322" spans="1:84" s="137" customFormat="1" ht="30" x14ac:dyDescent="0.35">
      <c r="A1322" s="17" t="s">
        <v>3921</v>
      </c>
      <c r="B1322" s="17" t="s">
        <v>45</v>
      </c>
      <c r="C1322" s="17">
        <v>2025</v>
      </c>
      <c r="D1322" s="17" t="str">
        <f t="array" ref="D1322">_xlfn.SWITCH(E1322,"Bagor","35.18.14","Sukomoro",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22" s="124" t="s">
        <v>140</v>
      </c>
      <c r="F1322" s="134" t="s">
        <v>2940</v>
      </c>
      <c r="G1322" s="134" t="s">
        <v>2941</v>
      </c>
      <c r="H1322" s="160" t="s">
        <v>2917</v>
      </c>
      <c r="I1322" s="124"/>
      <c r="J1322" s="124">
        <v>1</v>
      </c>
      <c r="K1322" s="124">
        <v>1</v>
      </c>
      <c r="L1322" s="131">
        <v>2000000</v>
      </c>
      <c r="M1322" s="125" t="s">
        <v>2942</v>
      </c>
      <c r="N1322" s="131">
        <v>2000</v>
      </c>
      <c r="O1322" s="124" t="s">
        <v>2943</v>
      </c>
      <c r="P1322" s="161">
        <v>6000000</v>
      </c>
      <c r="Q1322" s="150" t="s">
        <v>2925</v>
      </c>
      <c r="R1322" s="127">
        <v>50</v>
      </c>
      <c r="S1322" s="124" t="s">
        <v>35</v>
      </c>
      <c r="T1322" s="161">
        <v>1000000</v>
      </c>
      <c r="U1322" s="124" t="s">
        <v>22</v>
      </c>
      <c r="V1322" s="16">
        <v>0</v>
      </c>
      <c r="W1322" s="16">
        <v>0</v>
      </c>
      <c r="X1322" s="16">
        <v>0</v>
      </c>
      <c r="Y1322" s="124">
        <v>100</v>
      </c>
      <c r="Z1322" s="124">
        <v>0</v>
      </c>
      <c r="AA1322" s="124">
        <v>0</v>
      </c>
      <c r="AB1322" s="124">
        <v>0</v>
      </c>
      <c r="AC1322" s="124"/>
      <c r="AD1322" s="136"/>
      <c r="AF1322" s="138"/>
    </row>
    <row r="1323" spans="1:84" s="137" customFormat="1" ht="30" x14ac:dyDescent="0.35">
      <c r="A1323" s="17" t="s">
        <v>3921</v>
      </c>
      <c r="B1323" s="17" t="s">
        <v>45</v>
      </c>
      <c r="C1323" s="17">
        <v>2025</v>
      </c>
      <c r="D1323" s="17" t="str">
        <f t="array" ref="D1323">_xlfn.SWITCH(E1323,"Bagor","35.18.14","Sukomoro",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23" s="124" t="s">
        <v>45</v>
      </c>
      <c r="F1323" s="134" t="s">
        <v>2944</v>
      </c>
      <c r="G1323" s="134" t="s">
        <v>2945</v>
      </c>
      <c r="H1323" s="160" t="s">
        <v>2917</v>
      </c>
      <c r="I1323" s="124">
        <v>2</v>
      </c>
      <c r="J1323" s="124"/>
      <c r="K1323" s="124">
        <v>2</v>
      </c>
      <c r="L1323" s="131">
        <v>3000000</v>
      </c>
      <c r="M1323" s="125" t="s">
        <v>2946</v>
      </c>
      <c r="N1323" s="131">
        <v>1000</v>
      </c>
      <c r="O1323" s="124" t="s">
        <v>1368</v>
      </c>
      <c r="P1323" s="161">
        <f>N1323*225000</f>
        <v>225000000</v>
      </c>
      <c r="Q1323" s="125" t="s">
        <v>1468</v>
      </c>
      <c r="R1323" s="127">
        <v>900</v>
      </c>
      <c r="S1323" s="124" t="s">
        <v>1368</v>
      </c>
      <c r="T1323" s="161">
        <f>R1323*55000</f>
        <v>49500000</v>
      </c>
      <c r="U1323" s="124" t="s">
        <v>22</v>
      </c>
      <c r="V1323" s="124" t="s">
        <v>1370</v>
      </c>
      <c r="W1323" s="124">
        <v>550</v>
      </c>
      <c r="X1323" s="124" t="s">
        <v>1049</v>
      </c>
      <c r="Y1323" s="124">
        <v>100</v>
      </c>
      <c r="Z1323" s="124">
        <v>0</v>
      </c>
      <c r="AA1323" s="124">
        <v>0</v>
      </c>
      <c r="AB1323" s="134">
        <v>0</v>
      </c>
      <c r="AC1323" s="170"/>
      <c r="AD1323" s="171">
        <v>0</v>
      </c>
      <c r="AF1323" s="138"/>
    </row>
    <row r="1324" spans="1:84" s="137" customFormat="1" ht="40" x14ac:dyDescent="0.35">
      <c r="A1324" s="17" t="s">
        <v>3921</v>
      </c>
      <c r="B1324" s="17" t="s">
        <v>45</v>
      </c>
      <c r="C1324" s="17">
        <v>2025</v>
      </c>
      <c r="D1324" s="17" t="str">
        <f t="array" ref="D1324">_xlfn.SWITCH(E1324,"Bagor","35.18.14","Sukomoro",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24" s="124" t="s">
        <v>45</v>
      </c>
      <c r="F1324" s="134" t="s">
        <v>2947</v>
      </c>
      <c r="G1324" s="134" t="s">
        <v>2948</v>
      </c>
      <c r="H1324" s="160" t="s">
        <v>2917</v>
      </c>
      <c r="I1324" s="124">
        <v>2</v>
      </c>
      <c r="J1324" s="124">
        <v>2</v>
      </c>
      <c r="K1324" s="124">
        <v>4</v>
      </c>
      <c r="L1324" s="131">
        <v>10000000</v>
      </c>
      <c r="M1324" s="172" t="s">
        <v>2949</v>
      </c>
      <c r="N1324" s="131">
        <v>500</v>
      </c>
      <c r="O1324" s="124" t="s">
        <v>35</v>
      </c>
      <c r="P1324" s="161">
        <f>N1324*75000</f>
        <v>37500000</v>
      </c>
      <c r="Q1324" s="125" t="s">
        <v>2528</v>
      </c>
      <c r="R1324" s="127">
        <v>700</v>
      </c>
      <c r="S1324" s="124" t="s">
        <v>422</v>
      </c>
      <c r="T1324" s="161">
        <f>R1324*25000</f>
        <v>17500000</v>
      </c>
      <c r="U1324" s="124" t="s">
        <v>22</v>
      </c>
      <c r="V1324" s="124"/>
      <c r="W1324" s="124"/>
      <c r="X1324" s="124"/>
      <c r="Y1324" s="124">
        <v>80</v>
      </c>
      <c r="Z1324" s="124">
        <v>20</v>
      </c>
      <c r="AA1324" s="124">
        <v>0</v>
      </c>
      <c r="AB1324" s="124">
        <v>0</v>
      </c>
      <c r="AC1324" s="124"/>
      <c r="AD1324" s="136"/>
      <c r="AF1324" s="138"/>
    </row>
    <row r="1325" spans="1:84" s="137" customFormat="1" ht="30" x14ac:dyDescent="0.35">
      <c r="A1325" s="17" t="s">
        <v>3921</v>
      </c>
      <c r="B1325" s="17" t="s">
        <v>45</v>
      </c>
      <c r="C1325" s="17">
        <v>2025</v>
      </c>
      <c r="D1325" s="17" t="str">
        <f t="array" ref="D1325">_xlfn.SWITCH(E1325,"Bagor","35.18.14","Sukomoro",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325" s="124" t="s">
        <v>92</v>
      </c>
      <c r="F1325" s="134" t="s">
        <v>2950</v>
      </c>
      <c r="G1325" s="134" t="s">
        <v>2951</v>
      </c>
      <c r="H1325" s="160" t="s">
        <v>2917</v>
      </c>
      <c r="I1325" s="124">
        <v>2</v>
      </c>
      <c r="J1325" s="124">
        <v>2</v>
      </c>
      <c r="K1325" s="124">
        <v>4</v>
      </c>
      <c r="L1325" s="131">
        <v>10000000</v>
      </c>
      <c r="M1325" s="125" t="s">
        <v>2952</v>
      </c>
      <c r="N1325" s="131">
        <v>8000</v>
      </c>
      <c r="O1325" s="124" t="s">
        <v>1803</v>
      </c>
      <c r="P1325" s="161">
        <v>20000000</v>
      </c>
      <c r="Q1325" s="125" t="s">
        <v>1958</v>
      </c>
      <c r="R1325" s="131">
        <v>30000</v>
      </c>
      <c r="S1325" s="124" t="s">
        <v>422</v>
      </c>
      <c r="T1325" s="161">
        <f>P1325/2</f>
        <v>10000000</v>
      </c>
      <c r="U1325" s="124" t="s">
        <v>22</v>
      </c>
      <c r="V1325" s="124"/>
      <c r="W1325" s="124"/>
      <c r="X1325" s="124"/>
      <c r="Y1325" s="124">
        <v>60</v>
      </c>
      <c r="Z1325" s="124">
        <v>30</v>
      </c>
      <c r="AA1325" s="124">
        <v>30</v>
      </c>
      <c r="AB1325" s="124">
        <v>0</v>
      </c>
      <c r="AC1325" s="124"/>
      <c r="AD1325" s="136"/>
      <c r="AF1325" s="138"/>
    </row>
    <row r="1326" spans="1:84" s="137" customFormat="1" ht="30" x14ac:dyDescent="0.2">
      <c r="A1326" s="17" t="s">
        <v>3921</v>
      </c>
      <c r="B1326" s="17" t="s">
        <v>45</v>
      </c>
      <c r="C1326" s="17">
        <v>2025</v>
      </c>
      <c r="D1326" s="17" t="str">
        <f t="array" ref="D1326">_xlfn.SWITCH(E1326,"Bagor","35.18.14","Sukomoro",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326" s="124" t="s">
        <v>188</v>
      </c>
      <c r="F1326" s="134" t="s">
        <v>2953</v>
      </c>
      <c r="G1326" s="134" t="s">
        <v>2954</v>
      </c>
      <c r="H1326" s="160" t="s">
        <v>2917</v>
      </c>
      <c r="I1326" s="124">
        <v>1</v>
      </c>
      <c r="J1326" s="124">
        <v>1</v>
      </c>
      <c r="K1326" s="124">
        <v>2</v>
      </c>
      <c r="L1326" s="95">
        <v>6000000</v>
      </c>
      <c r="M1326" s="17" t="s">
        <v>2955</v>
      </c>
      <c r="N1326" s="67">
        <v>10080</v>
      </c>
      <c r="O1326" s="16" t="s">
        <v>422</v>
      </c>
      <c r="P1326" s="70">
        <v>40320000</v>
      </c>
      <c r="Q1326" s="33" t="s">
        <v>2956</v>
      </c>
      <c r="R1326" s="78">
        <v>10080</v>
      </c>
      <c r="S1326" s="16" t="s">
        <v>422</v>
      </c>
      <c r="T1326" s="67">
        <v>8366400</v>
      </c>
      <c r="U1326" s="16" t="s">
        <v>22</v>
      </c>
      <c r="V1326" s="16"/>
      <c r="W1326" s="16"/>
      <c r="X1326" s="16"/>
      <c r="Y1326" s="16">
        <v>80</v>
      </c>
      <c r="Z1326" s="16">
        <v>20</v>
      </c>
      <c r="AA1326" s="16">
        <v>0</v>
      </c>
      <c r="AB1326" s="16">
        <v>0</v>
      </c>
      <c r="AC1326" s="124"/>
      <c r="AD1326" s="136"/>
      <c r="AF1326" s="138"/>
    </row>
    <row r="1327" spans="1:84" s="137" customFormat="1" ht="20" x14ac:dyDescent="0.35">
      <c r="A1327" s="17" t="s">
        <v>3921</v>
      </c>
      <c r="B1327" s="17" t="s">
        <v>45</v>
      </c>
      <c r="C1327" s="17">
        <v>2025</v>
      </c>
      <c r="D1327" s="17" t="str">
        <f t="array" ref="D1327">_xlfn.SWITCH(E1327,"Bagor","35.18.14","Sukomoro",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1327" s="124" t="s">
        <v>55</v>
      </c>
      <c r="F1327" s="134" t="s">
        <v>2957</v>
      </c>
      <c r="G1327" s="134" t="s">
        <v>2958</v>
      </c>
      <c r="H1327" s="160" t="s">
        <v>2917</v>
      </c>
      <c r="I1327" s="124">
        <v>1</v>
      </c>
      <c r="J1327" s="124">
        <v>1</v>
      </c>
      <c r="K1327" s="124">
        <v>2</v>
      </c>
      <c r="L1327" s="44">
        <v>5000000</v>
      </c>
      <c r="M1327" s="17" t="s">
        <v>2747</v>
      </c>
      <c r="N1327" s="18">
        <v>200</v>
      </c>
      <c r="O1327" s="16" t="s">
        <v>35</v>
      </c>
      <c r="P1327" s="30">
        <f>N1327*55000</f>
        <v>11000000</v>
      </c>
      <c r="Q1327" s="17" t="s">
        <v>2959</v>
      </c>
      <c r="R1327" s="44">
        <v>1000</v>
      </c>
      <c r="S1327" s="16" t="s">
        <v>422</v>
      </c>
      <c r="T1327" s="30">
        <f>R1327*4000</f>
        <v>4000000</v>
      </c>
      <c r="U1327" s="16" t="s">
        <v>22</v>
      </c>
      <c r="V1327" s="16"/>
      <c r="W1327" s="16"/>
      <c r="X1327" s="16"/>
      <c r="Y1327" s="16">
        <v>90</v>
      </c>
      <c r="Z1327" s="16">
        <v>10</v>
      </c>
      <c r="AA1327" s="16">
        <v>0</v>
      </c>
      <c r="AB1327" s="16">
        <v>0</v>
      </c>
      <c r="AC1327" s="124"/>
      <c r="AD1327" s="136"/>
      <c r="AF1327" s="138"/>
    </row>
    <row r="1328" spans="1:84" s="137" customFormat="1" ht="30" x14ac:dyDescent="0.35">
      <c r="A1328" s="17" t="s">
        <v>3921</v>
      </c>
      <c r="B1328" s="17" t="s">
        <v>45</v>
      </c>
      <c r="C1328" s="17">
        <v>2025</v>
      </c>
      <c r="D1328" s="17" t="str">
        <f t="array" ref="D1328">_xlfn.SWITCH(E1328,"Bagor","35.18.14","Sukomoro",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28" s="124" t="s">
        <v>157</v>
      </c>
      <c r="F1328" s="134" t="s">
        <v>2960</v>
      </c>
      <c r="G1328" s="134" t="s">
        <v>2961</v>
      </c>
      <c r="H1328" s="160" t="s">
        <v>2917</v>
      </c>
      <c r="I1328" s="124">
        <v>1</v>
      </c>
      <c r="J1328" s="124">
        <v>1</v>
      </c>
      <c r="K1328" s="124">
        <v>2</v>
      </c>
      <c r="L1328" s="18">
        <v>5000000</v>
      </c>
      <c r="M1328" s="17" t="s">
        <v>1367</v>
      </c>
      <c r="N1328" s="18">
        <f>K1328*10*30</f>
        <v>600</v>
      </c>
      <c r="O1328" s="16" t="s">
        <v>1368</v>
      </c>
      <c r="P1328" s="30">
        <f>N1328*5000</f>
        <v>3000000</v>
      </c>
      <c r="Q1328" s="17" t="s">
        <v>2646</v>
      </c>
      <c r="R1328" s="44">
        <f>N1328/5</f>
        <v>120</v>
      </c>
      <c r="S1328" s="16" t="s">
        <v>1368</v>
      </c>
      <c r="T1328" s="30">
        <f>R1328*10000</f>
        <v>1200000</v>
      </c>
      <c r="U1328" s="16" t="s">
        <v>22</v>
      </c>
      <c r="V1328" s="16" t="s">
        <v>1370</v>
      </c>
      <c r="W1328" s="16">
        <v>500</v>
      </c>
      <c r="X1328" s="16" t="s">
        <v>1049</v>
      </c>
      <c r="Y1328" s="16">
        <v>80</v>
      </c>
      <c r="Z1328" s="16">
        <v>20</v>
      </c>
      <c r="AA1328" s="16">
        <v>0</v>
      </c>
      <c r="AB1328" s="16">
        <v>0</v>
      </c>
      <c r="AC1328" s="124"/>
      <c r="AD1328" s="136"/>
      <c r="AF1328" s="138"/>
    </row>
    <row r="1329" spans="1:32" s="173" customFormat="1" ht="30" x14ac:dyDescent="0.35">
      <c r="A1329" s="17" t="s">
        <v>3921</v>
      </c>
      <c r="B1329" s="17" t="s">
        <v>45</v>
      </c>
      <c r="C1329" s="17">
        <v>2025</v>
      </c>
      <c r="D1329" s="17" t="str">
        <f t="array" ref="D1329">_xlfn.SWITCH(E1329,"Bagor","35.18.14","Sukomoro",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29" s="124" t="s">
        <v>140</v>
      </c>
      <c r="F1329" s="134" t="s">
        <v>2962</v>
      </c>
      <c r="G1329" s="134" t="s">
        <v>2963</v>
      </c>
      <c r="H1329" s="160" t="s">
        <v>2917</v>
      </c>
      <c r="I1329" s="124">
        <v>1</v>
      </c>
      <c r="J1329" s="124">
        <v>1</v>
      </c>
      <c r="K1329" s="124">
        <v>2</v>
      </c>
      <c r="L1329" s="131">
        <v>3000000</v>
      </c>
      <c r="M1329" s="125" t="s">
        <v>2747</v>
      </c>
      <c r="N1329" s="131">
        <v>200</v>
      </c>
      <c r="O1329" s="124" t="s">
        <v>35</v>
      </c>
      <c r="P1329" s="161">
        <f>N1329*55000</f>
        <v>11000000</v>
      </c>
      <c r="Q1329" s="125" t="s">
        <v>2657</v>
      </c>
      <c r="R1329" s="127">
        <v>1000</v>
      </c>
      <c r="S1329" s="124" t="s">
        <v>422</v>
      </c>
      <c r="T1329" s="161">
        <f>R1329*4000</f>
        <v>4000000</v>
      </c>
      <c r="U1329" s="124" t="s">
        <v>22</v>
      </c>
      <c r="V1329" s="124"/>
      <c r="W1329" s="124"/>
      <c r="X1329" s="124"/>
      <c r="Y1329" s="124">
        <v>90</v>
      </c>
      <c r="Z1329" s="124">
        <v>10</v>
      </c>
      <c r="AA1329" s="124">
        <v>0</v>
      </c>
      <c r="AB1329" s="124">
        <v>0</v>
      </c>
      <c r="AC1329" s="124"/>
      <c r="AD1329" s="32"/>
      <c r="AF1329" s="174"/>
    </row>
    <row r="1330" spans="1:32" ht="50" x14ac:dyDescent="0.2">
      <c r="A1330" s="17" t="s">
        <v>3921</v>
      </c>
      <c r="B1330" s="17" t="s">
        <v>45</v>
      </c>
      <c r="C1330" s="17">
        <v>2025</v>
      </c>
      <c r="D1330" s="17" t="str">
        <f t="array" ref="D1330">_xlfn.SWITCH(E1330,"Bagor","35.18.14","Sukomoro",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330" s="124" t="s">
        <v>92</v>
      </c>
      <c r="F1330" s="134" t="s">
        <v>2964</v>
      </c>
      <c r="G1330" s="134" t="s">
        <v>2965</v>
      </c>
      <c r="H1330" s="124" t="s">
        <v>2917</v>
      </c>
      <c r="I1330" s="124">
        <v>1</v>
      </c>
      <c r="J1330" s="124">
        <v>1</v>
      </c>
      <c r="K1330" s="124">
        <v>2</v>
      </c>
      <c r="L1330" s="131">
        <v>2500000</v>
      </c>
      <c r="M1330" s="125" t="s">
        <v>2733</v>
      </c>
      <c r="N1330" s="164">
        <v>500</v>
      </c>
      <c r="O1330" s="124" t="s">
        <v>35</v>
      </c>
      <c r="P1330" s="165">
        <v>15000000</v>
      </c>
      <c r="Q1330" s="134" t="s">
        <v>1553</v>
      </c>
      <c r="R1330" s="166">
        <v>450</v>
      </c>
      <c r="S1330" s="124" t="s">
        <v>422</v>
      </c>
      <c r="T1330" s="164">
        <v>10000000</v>
      </c>
      <c r="U1330" s="124" t="s">
        <v>22</v>
      </c>
      <c r="V1330" s="124"/>
      <c r="W1330" s="124"/>
      <c r="X1330" s="124"/>
      <c r="Y1330" s="124">
        <v>30</v>
      </c>
      <c r="Z1330" s="124">
        <v>30</v>
      </c>
      <c r="AA1330" s="124">
        <v>40</v>
      </c>
      <c r="AB1330" s="124">
        <v>0</v>
      </c>
      <c r="AC1330" s="124"/>
    </row>
    <row r="1331" spans="1:32" ht="60" x14ac:dyDescent="0.2">
      <c r="A1331" s="17" t="s">
        <v>3921</v>
      </c>
      <c r="B1331" s="17" t="s">
        <v>45</v>
      </c>
      <c r="C1331" s="17">
        <v>2025</v>
      </c>
      <c r="D1331" s="17" t="str">
        <f t="array" ref="D1331">_xlfn.SWITCH(E1331,"Jatikalen","35.18.20","Kertosono", "35.18.08","Lengkong","35.18.19","Loceret","35.18.04","Tanjunganom","35.18.11","Wilangan","35.18.15")</f>
        <v>35.18.04</v>
      </c>
      <c r="E1331" s="124" t="s">
        <v>41</v>
      </c>
      <c r="F1331" s="134" t="s">
        <v>2966</v>
      </c>
      <c r="G1331" s="134" t="s">
        <v>2967</v>
      </c>
      <c r="H1331" s="124" t="s">
        <v>2917</v>
      </c>
      <c r="I1331" s="124">
        <v>1</v>
      </c>
      <c r="J1331" s="124">
        <v>1</v>
      </c>
      <c r="K1331" s="124">
        <v>2</v>
      </c>
      <c r="L1331" s="131">
        <v>5000000</v>
      </c>
      <c r="M1331" s="125" t="s">
        <v>1367</v>
      </c>
      <c r="N1331" s="131">
        <f>K1331*10*30</f>
        <v>600</v>
      </c>
      <c r="O1331" s="124" t="s">
        <v>1368</v>
      </c>
      <c r="P1331" s="161">
        <f>N1331*5000</f>
        <v>3000000</v>
      </c>
      <c r="Q1331" s="125" t="s">
        <v>2646</v>
      </c>
      <c r="R1331" s="127">
        <f>N1331/5</f>
        <v>120</v>
      </c>
      <c r="S1331" s="124" t="s">
        <v>1368</v>
      </c>
      <c r="T1331" s="161">
        <f>R1331*10000</f>
        <v>1200000</v>
      </c>
      <c r="U1331" s="124" t="s">
        <v>22</v>
      </c>
      <c r="V1331" s="124" t="s">
        <v>1370</v>
      </c>
      <c r="W1331" s="124">
        <v>500</v>
      </c>
      <c r="X1331" s="124" t="s">
        <v>1049</v>
      </c>
      <c r="Y1331" s="124">
        <v>80</v>
      </c>
      <c r="Z1331" s="124">
        <v>20</v>
      </c>
      <c r="AA1331" s="124">
        <v>0</v>
      </c>
      <c r="AB1331" s="124">
        <v>0</v>
      </c>
      <c r="AC1331" s="124"/>
    </row>
    <row r="1332" spans="1:32" ht="60" x14ac:dyDescent="0.2">
      <c r="A1332" s="17" t="s">
        <v>3921</v>
      </c>
      <c r="B1332" s="17" t="s">
        <v>45</v>
      </c>
      <c r="C1332" s="17">
        <v>2025</v>
      </c>
      <c r="D1332" s="17" t="str">
        <f t="array" ref="D1332">_xlfn.SWITCH(E1332,"Bagor","35.18.14","Sukomoro",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32" s="124" t="s">
        <v>45</v>
      </c>
      <c r="F1332" s="134" t="s">
        <v>2968</v>
      </c>
      <c r="G1332" s="134" t="s">
        <v>2969</v>
      </c>
      <c r="H1332" s="124" t="s">
        <v>2917</v>
      </c>
      <c r="I1332" s="124">
        <v>1</v>
      </c>
      <c r="J1332" s="124">
        <v>1</v>
      </c>
      <c r="K1332" s="124">
        <v>2</v>
      </c>
      <c r="L1332" s="131">
        <v>5000000</v>
      </c>
      <c r="M1332" s="125" t="s">
        <v>2733</v>
      </c>
      <c r="N1332" s="131">
        <v>750</v>
      </c>
      <c r="O1332" s="124" t="s">
        <v>422</v>
      </c>
      <c r="P1332" s="161">
        <v>18000000</v>
      </c>
      <c r="Q1332" s="125" t="s">
        <v>1553</v>
      </c>
      <c r="R1332" s="127">
        <v>500</v>
      </c>
      <c r="S1332" s="124" t="s">
        <v>422</v>
      </c>
      <c r="T1332" s="161">
        <v>14000000</v>
      </c>
      <c r="U1332" s="124" t="s">
        <v>22</v>
      </c>
      <c r="V1332" s="124"/>
      <c r="W1332" s="124"/>
      <c r="X1332" s="124"/>
      <c r="Y1332" s="124"/>
      <c r="Z1332" s="124"/>
      <c r="AA1332" s="124"/>
      <c r="AB1332" s="175"/>
      <c r="AC1332" s="175"/>
    </row>
    <row r="1333" spans="1:32" ht="30" x14ac:dyDescent="0.2">
      <c r="A1333" s="17" t="s">
        <v>3921</v>
      </c>
      <c r="B1333" s="17" t="s">
        <v>45</v>
      </c>
      <c r="C1333" s="17">
        <v>2025</v>
      </c>
      <c r="D1333" s="17" t="str">
        <f t="array" ref="D1333">_xlfn.SWITCH(E1333,"Bagor","35.18.14","Sukomoro",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1333" s="124" t="s">
        <v>785</v>
      </c>
      <c r="F1333" s="134" t="s">
        <v>2970</v>
      </c>
      <c r="G1333" s="134" t="s">
        <v>2971</v>
      </c>
      <c r="H1333" s="124" t="s">
        <v>2917</v>
      </c>
      <c r="I1333" s="124">
        <v>1</v>
      </c>
      <c r="J1333" s="124">
        <v>1</v>
      </c>
      <c r="K1333" s="124">
        <v>2</v>
      </c>
      <c r="L1333" s="131">
        <v>10000000</v>
      </c>
      <c r="M1333" s="125" t="s">
        <v>2972</v>
      </c>
      <c r="N1333" s="131">
        <f>15*25*12</f>
        <v>4500</v>
      </c>
      <c r="O1333" s="124" t="s">
        <v>1420</v>
      </c>
      <c r="P1333" s="161">
        <v>31500000</v>
      </c>
      <c r="Q1333" s="125" t="s">
        <v>2512</v>
      </c>
      <c r="R1333" s="131">
        <f>10*12*25</f>
        <v>3000</v>
      </c>
      <c r="S1333" s="124" t="s">
        <v>422</v>
      </c>
      <c r="T1333" s="130">
        <f>P1333/2</f>
        <v>15750000</v>
      </c>
      <c r="U1333" s="176" t="s">
        <v>22</v>
      </c>
      <c r="V1333" s="177">
        <v>0</v>
      </c>
      <c r="W1333" s="178">
        <v>0</v>
      </c>
      <c r="X1333" s="177">
        <v>0</v>
      </c>
      <c r="Y1333" s="178">
        <v>80</v>
      </c>
      <c r="Z1333" s="178">
        <v>20</v>
      </c>
      <c r="AA1333" s="178">
        <v>0</v>
      </c>
      <c r="AB1333" s="178">
        <v>0</v>
      </c>
      <c r="AC1333" s="124"/>
    </row>
    <row r="1334" spans="1:32" ht="40" x14ac:dyDescent="0.2">
      <c r="A1334" s="17" t="s">
        <v>3921</v>
      </c>
      <c r="B1334" s="17" t="s">
        <v>45</v>
      </c>
      <c r="C1334" s="17">
        <v>2025</v>
      </c>
      <c r="D1334" s="17" t="str">
        <f t="array" ref="D1334">_xlfn.SWITCH(E1334,"Bagor","35.18.14","Sukomoro",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334" s="124" t="s">
        <v>71</v>
      </c>
      <c r="F1334" s="134" t="s">
        <v>2973</v>
      </c>
      <c r="G1334" s="134" t="s">
        <v>2974</v>
      </c>
      <c r="H1334" s="124" t="s">
        <v>2917</v>
      </c>
      <c r="I1334" s="124">
        <v>1</v>
      </c>
      <c r="J1334" s="124">
        <v>1</v>
      </c>
      <c r="K1334" s="124">
        <v>2</v>
      </c>
      <c r="L1334" s="179">
        <v>4500000</v>
      </c>
      <c r="M1334" s="125" t="s">
        <v>2142</v>
      </c>
      <c r="N1334" s="164">
        <v>20</v>
      </c>
      <c r="O1334" s="124" t="s">
        <v>962</v>
      </c>
      <c r="P1334" s="161">
        <v>20000000</v>
      </c>
      <c r="Q1334" s="134" t="s">
        <v>1787</v>
      </c>
      <c r="R1334" s="179">
        <v>2500</v>
      </c>
      <c r="S1334" s="124" t="s">
        <v>422</v>
      </c>
      <c r="T1334" s="161">
        <v>12500000</v>
      </c>
      <c r="U1334" s="124" t="s">
        <v>22</v>
      </c>
      <c r="V1334" s="177"/>
      <c r="W1334" s="124"/>
      <c r="X1334" s="124"/>
      <c r="Y1334" s="124">
        <v>80</v>
      </c>
      <c r="Z1334" s="124">
        <v>20</v>
      </c>
      <c r="AA1334" s="124">
        <v>0</v>
      </c>
      <c r="AB1334" s="124">
        <v>0</v>
      </c>
      <c r="AC1334" s="124"/>
    </row>
    <row r="1335" spans="1:32" ht="50" x14ac:dyDescent="0.2">
      <c r="A1335" s="17" t="s">
        <v>3921</v>
      </c>
      <c r="B1335" s="17" t="s">
        <v>45</v>
      </c>
      <c r="C1335" s="17">
        <v>2025</v>
      </c>
      <c r="D1335" s="17" t="str">
        <f t="array" ref="D1335">_xlfn.SWITCH(E1335,"Bagor","35.18.14","Sukomoro",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35" s="124" t="s">
        <v>45</v>
      </c>
      <c r="F1335" s="134" t="s">
        <v>2975</v>
      </c>
      <c r="G1335" s="134" t="s">
        <v>2976</v>
      </c>
      <c r="H1335" s="124" t="s">
        <v>2917</v>
      </c>
      <c r="I1335" s="124"/>
      <c r="J1335" s="124">
        <v>2</v>
      </c>
      <c r="K1335" s="124">
        <v>2</v>
      </c>
      <c r="L1335" s="131">
        <v>7500000</v>
      </c>
      <c r="M1335" s="125" t="s">
        <v>2142</v>
      </c>
      <c r="N1335" s="131">
        <v>5000</v>
      </c>
      <c r="O1335" s="124" t="s">
        <v>49</v>
      </c>
      <c r="P1335" s="161">
        <f>N1335*2500</f>
        <v>12500000</v>
      </c>
      <c r="Q1335" s="125" t="s">
        <v>159</v>
      </c>
      <c r="R1335" s="127">
        <v>100</v>
      </c>
      <c r="S1335" s="124" t="s">
        <v>422</v>
      </c>
      <c r="T1335" s="161">
        <f>R1335*15000</f>
        <v>1500000</v>
      </c>
      <c r="U1335" s="124" t="s">
        <v>22</v>
      </c>
      <c r="V1335" s="124"/>
      <c r="W1335" s="124"/>
      <c r="X1335" s="124"/>
      <c r="Y1335" s="124">
        <v>100</v>
      </c>
      <c r="Z1335" s="124">
        <v>0</v>
      </c>
      <c r="AA1335" s="124">
        <v>0</v>
      </c>
      <c r="AB1335" s="124">
        <v>0</v>
      </c>
      <c r="AC1335" s="124"/>
    </row>
    <row r="1336" spans="1:32" ht="40" x14ac:dyDescent="0.2">
      <c r="A1336" s="17" t="s">
        <v>3921</v>
      </c>
      <c r="B1336" s="17" t="s">
        <v>45</v>
      </c>
      <c r="C1336" s="17">
        <v>2025</v>
      </c>
      <c r="D1336" s="17" t="str">
        <f t="array" ref="D1336">_xlfn.SWITCH(E1336,"Bagor","35.18.14","Sukomoro",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36" s="124" t="s">
        <v>140</v>
      </c>
      <c r="F1336" s="134" t="s">
        <v>2977</v>
      </c>
      <c r="G1336" s="134" t="s">
        <v>2978</v>
      </c>
      <c r="H1336" s="124" t="s">
        <v>2917</v>
      </c>
      <c r="I1336" s="124">
        <v>1</v>
      </c>
      <c r="J1336" s="124">
        <v>1</v>
      </c>
      <c r="K1336" s="124">
        <v>2</v>
      </c>
      <c r="L1336" s="127">
        <v>5000000</v>
      </c>
      <c r="M1336" s="125" t="s">
        <v>2698</v>
      </c>
      <c r="N1336" s="131">
        <v>5000</v>
      </c>
      <c r="O1336" s="124" t="s">
        <v>49</v>
      </c>
      <c r="P1336" s="161">
        <f>N1336*2500</f>
        <v>12500000</v>
      </c>
      <c r="Q1336" s="125" t="s">
        <v>159</v>
      </c>
      <c r="R1336" s="127">
        <v>100</v>
      </c>
      <c r="S1336" s="124" t="s">
        <v>422</v>
      </c>
      <c r="T1336" s="161">
        <f>R1336*15000</f>
        <v>1500000</v>
      </c>
      <c r="U1336" s="124" t="s">
        <v>22</v>
      </c>
      <c r="V1336" s="124"/>
      <c r="W1336" s="124"/>
      <c r="X1336" s="124"/>
      <c r="Y1336" s="124">
        <v>100</v>
      </c>
      <c r="Z1336" s="124">
        <v>0</v>
      </c>
      <c r="AA1336" s="124">
        <v>0</v>
      </c>
      <c r="AB1336" s="124">
        <v>0</v>
      </c>
      <c r="AC1336" s="124"/>
    </row>
    <row r="1337" spans="1:32" ht="30" x14ac:dyDescent="0.2">
      <c r="A1337" s="17" t="s">
        <v>3921</v>
      </c>
      <c r="B1337" s="17" t="s">
        <v>45</v>
      </c>
      <c r="C1337" s="17">
        <v>2025</v>
      </c>
      <c r="D1337" s="17" t="str">
        <f t="array" ref="D1337">_xlfn.SWITCH(E1337,"Bagor","35.18.14","Sukomoro",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337" s="124" t="s">
        <v>2530</v>
      </c>
      <c r="F1337" s="134" t="s">
        <v>2979</v>
      </c>
      <c r="G1337" s="134" t="s">
        <v>2980</v>
      </c>
      <c r="H1337" s="124" t="s">
        <v>2917</v>
      </c>
      <c r="I1337" s="124">
        <v>1</v>
      </c>
      <c r="J1337" s="124">
        <v>1</v>
      </c>
      <c r="K1337" s="124">
        <v>2</v>
      </c>
      <c r="L1337" s="131">
        <v>5000000</v>
      </c>
      <c r="M1337" s="125" t="s">
        <v>2706</v>
      </c>
      <c r="N1337" s="131">
        <v>250</v>
      </c>
      <c r="O1337" s="124" t="s">
        <v>35</v>
      </c>
      <c r="P1337" s="161">
        <f>N1337*60000</f>
        <v>15000000</v>
      </c>
      <c r="Q1337" s="125" t="s">
        <v>2707</v>
      </c>
      <c r="R1337" s="127">
        <v>400</v>
      </c>
      <c r="S1337" s="124" t="s">
        <v>422</v>
      </c>
      <c r="T1337" s="161">
        <f>R1337*25000</f>
        <v>10000000</v>
      </c>
      <c r="U1337" s="124" t="s">
        <v>22</v>
      </c>
      <c r="V1337" s="124"/>
      <c r="W1337" s="124"/>
      <c r="X1337" s="124"/>
      <c r="Y1337" s="124">
        <v>80</v>
      </c>
      <c r="Z1337" s="124">
        <v>20</v>
      </c>
      <c r="AA1337" s="124">
        <v>0</v>
      </c>
      <c r="AB1337" s="124">
        <v>0</v>
      </c>
      <c r="AC1337" s="124"/>
    </row>
    <row r="1338" spans="1:32" ht="30" x14ac:dyDescent="0.2">
      <c r="A1338" s="17" t="s">
        <v>3921</v>
      </c>
      <c r="B1338" s="17" t="s">
        <v>45</v>
      </c>
      <c r="C1338" s="17">
        <v>2025</v>
      </c>
      <c r="D1338" s="17" t="str">
        <f t="array" ref="D1338">_xlfn.SWITCH(E1338,"Bagor","35.18.14","Sukomoro",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38" s="124" t="s">
        <v>29</v>
      </c>
      <c r="F1338" s="134" t="s">
        <v>2981</v>
      </c>
      <c r="G1338" s="134" t="s">
        <v>2982</v>
      </c>
      <c r="H1338" s="124" t="s">
        <v>2917</v>
      </c>
      <c r="I1338" s="124">
        <v>1</v>
      </c>
      <c r="J1338" s="124">
        <v>1</v>
      </c>
      <c r="K1338" s="124">
        <v>2</v>
      </c>
      <c r="L1338" s="127">
        <v>5000000</v>
      </c>
      <c r="M1338" s="125" t="s">
        <v>2747</v>
      </c>
      <c r="N1338" s="131">
        <v>200</v>
      </c>
      <c r="O1338" s="124" t="s">
        <v>35</v>
      </c>
      <c r="P1338" s="161">
        <f>N1338*55000</f>
        <v>11000000</v>
      </c>
      <c r="Q1338" s="125" t="s">
        <v>2657</v>
      </c>
      <c r="R1338" s="127">
        <v>1000</v>
      </c>
      <c r="S1338" s="124" t="s">
        <v>422</v>
      </c>
      <c r="T1338" s="161">
        <f>R1338*4000</f>
        <v>4000000</v>
      </c>
      <c r="U1338" s="124" t="s">
        <v>22</v>
      </c>
      <c r="V1338" s="124"/>
      <c r="W1338" s="124"/>
      <c r="X1338" s="124"/>
      <c r="Y1338" s="124">
        <v>90</v>
      </c>
      <c r="Z1338" s="124">
        <v>10</v>
      </c>
      <c r="AA1338" s="124">
        <v>0</v>
      </c>
      <c r="AB1338" s="124">
        <v>0</v>
      </c>
      <c r="AC1338" s="124"/>
    </row>
    <row r="1339" spans="1:32" ht="50" x14ac:dyDescent="0.2">
      <c r="A1339" s="17" t="s">
        <v>3921</v>
      </c>
      <c r="B1339" s="17" t="s">
        <v>45</v>
      </c>
      <c r="C1339" s="17">
        <v>2025</v>
      </c>
      <c r="D1339" s="17" t="str">
        <f t="array" ref="D1339">_xlfn.SWITCH(E1339,"Jatikalen","35.18.20","Kertosono", "35.18.08","Lengkong","35.18.19","Loceret","35.18.04","Tanjunganom","35.18.11","Wilangan","35.18.15")</f>
        <v>35.18.04</v>
      </c>
      <c r="E1339" s="124" t="s">
        <v>41</v>
      </c>
      <c r="F1339" s="134" t="s">
        <v>2983</v>
      </c>
      <c r="G1339" s="134" t="s">
        <v>2984</v>
      </c>
      <c r="H1339" s="124" t="s">
        <v>2917</v>
      </c>
      <c r="I1339" s="124">
        <v>2</v>
      </c>
      <c r="J1339" s="124">
        <v>3</v>
      </c>
      <c r="K1339" s="124">
        <v>5</v>
      </c>
      <c r="L1339" s="131">
        <v>10000000</v>
      </c>
      <c r="M1339" s="125" t="s">
        <v>2952</v>
      </c>
      <c r="N1339" s="131">
        <v>8000</v>
      </c>
      <c r="O1339" s="124" t="s">
        <v>1803</v>
      </c>
      <c r="P1339" s="161">
        <v>20000000</v>
      </c>
      <c r="Q1339" s="125" t="s">
        <v>1958</v>
      </c>
      <c r="R1339" s="131">
        <v>30000</v>
      </c>
      <c r="S1339" s="124" t="s">
        <v>422</v>
      </c>
      <c r="T1339" s="161">
        <f>P1339/2</f>
        <v>10000000</v>
      </c>
      <c r="U1339" s="124" t="s">
        <v>22</v>
      </c>
      <c r="V1339" s="124"/>
      <c r="W1339" s="124"/>
      <c r="X1339" s="124"/>
      <c r="Y1339" s="124">
        <v>60</v>
      </c>
      <c r="Z1339" s="124">
        <v>30</v>
      </c>
      <c r="AA1339" s="124">
        <v>30</v>
      </c>
      <c r="AB1339" s="124">
        <v>0</v>
      </c>
      <c r="AC1339" s="124"/>
    </row>
    <row r="1340" spans="1:32" ht="60" x14ac:dyDescent="0.2">
      <c r="A1340" s="17" t="s">
        <v>3921</v>
      </c>
      <c r="B1340" s="17" t="s">
        <v>45</v>
      </c>
      <c r="C1340" s="17">
        <v>2025</v>
      </c>
      <c r="D1340" s="17" t="str">
        <f t="array" ref="D1340">_xlfn.SWITCH(E1340,"Bagor","35.18.14","Sukomoro",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40" s="124" t="s">
        <v>45</v>
      </c>
      <c r="F1340" s="134" t="s">
        <v>2985</v>
      </c>
      <c r="G1340" s="134" t="s">
        <v>2986</v>
      </c>
      <c r="H1340" s="124" t="s">
        <v>2917</v>
      </c>
      <c r="I1340" s="124">
        <v>1</v>
      </c>
      <c r="J1340" s="124">
        <v>1</v>
      </c>
      <c r="K1340" s="124">
        <v>2</v>
      </c>
      <c r="L1340" s="131">
        <v>6000000</v>
      </c>
      <c r="M1340" s="125" t="s">
        <v>2718</v>
      </c>
      <c r="N1340" s="164">
        <v>10080</v>
      </c>
      <c r="O1340" s="124" t="s">
        <v>422</v>
      </c>
      <c r="P1340" s="165">
        <v>40320000</v>
      </c>
      <c r="Q1340" s="134" t="s">
        <v>1642</v>
      </c>
      <c r="R1340" s="166">
        <v>10080</v>
      </c>
      <c r="S1340" s="124" t="s">
        <v>422</v>
      </c>
      <c r="T1340" s="164">
        <v>8366400</v>
      </c>
      <c r="U1340" s="124" t="s">
        <v>22</v>
      </c>
      <c r="V1340" s="124"/>
      <c r="W1340" s="124"/>
      <c r="X1340" s="124"/>
      <c r="Y1340" s="124">
        <v>80</v>
      </c>
      <c r="Z1340" s="124">
        <v>20</v>
      </c>
      <c r="AA1340" s="124">
        <v>0</v>
      </c>
      <c r="AB1340" s="124">
        <v>0</v>
      </c>
      <c r="AC1340" s="124"/>
    </row>
    <row r="1341" spans="1:32" ht="40" x14ac:dyDescent="0.2">
      <c r="A1341" s="17" t="s">
        <v>3921</v>
      </c>
      <c r="B1341" s="17" t="s">
        <v>45</v>
      </c>
      <c r="C1341" s="17">
        <v>2025</v>
      </c>
      <c r="D1341" s="17" t="str">
        <f t="array" ref="D1341">_xlfn.SWITCH(E1341,"Bagor","35.18.14","Sukomoro",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41" s="124" t="s">
        <v>29</v>
      </c>
      <c r="F1341" s="134" t="s">
        <v>2987</v>
      </c>
      <c r="G1341" s="134" t="s">
        <v>2988</v>
      </c>
      <c r="H1341" s="124" t="s">
        <v>2917</v>
      </c>
      <c r="I1341" s="124">
        <v>1</v>
      </c>
      <c r="J1341" s="124">
        <v>1</v>
      </c>
      <c r="K1341" s="124">
        <v>2</v>
      </c>
      <c r="L1341" s="131">
        <v>2000000</v>
      </c>
      <c r="M1341" s="125" t="s">
        <v>2942</v>
      </c>
      <c r="N1341" s="131">
        <v>2000</v>
      </c>
      <c r="O1341" s="124" t="s">
        <v>2943</v>
      </c>
      <c r="P1341" s="161">
        <v>6000000</v>
      </c>
      <c r="Q1341" s="150" t="s">
        <v>2925</v>
      </c>
      <c r="R1341" s="127">
        <v>50</v>
      </c>
      <c r="S1341" s="124" t="s">
        <v>35</v>
      </c>
      <c r="T1341" s="161">
        <v>1000000</v>
      </c>
      <c r="U1341" s="124" t="s">
        <v>22</v>
      </c>
      <c r="V1341" s="124">
        <v>0</v>
      </c>
      <c r="W1341" s="124">
        <v>0</v>
      </c>
      <c r="X1341" s="124">
        <v>0</v>
      </c>
      <c r="Y1341" s="124">
        <v>100</v>
      </c>
      <c r="Z1341" s="124">
        <v>0</v>
      </c>
      <c r="AA1341" s="124">
        <v>0</v>
      </c>
      <c r="AB1341" s="124">
        <v>0</v>
      </c>
      <c r="AC1341" s="124"/>
    </row>
    <row r="1342" spans="1:32" ht="40" x14ac:dyDescent="0.2">
      <c r="A1342" s="17" t="s">
        <v>3921</v>
      </c>
      <c r="B1342" s="17" t="s">
        <v>45</v>
      </c>
      <c r="C1342" s="17">
        <v>2025</v>
      </c>
      <c r="D1342" s="17" t="str">
        <f t="array" ref="D1342">_xlfn.SWITCH(E1342,"Bagor","35.18.14","Sukomoro",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42" s="124" t="s">
        <v>29</v>
      </c>
      <c r="F1342" s="134" t="s">
        <v>2987</v>
      </c>
      <c r="G1342" s="134" t="s">
        <v>2989</v>
      </c>
      <c r="H1342" s="124" t="s">
        <v>2990</v>
      </c>
      <c r="I1342" s="124">
        <v>1</v>
      </c>
      <c r="J1342" s="124">
        <v>1</v>
      </c>
      <c r="K1342" s="124">
        <v>2</v>
      </c>
      <c r="L1342" s="127">
        <v>5000000</v>
      </c>
      <c r="M1342" s="125" t="s">
        <v>2991</v>
      </c>
      <c r="N1342" s="131">
        <v>200</v>
      </c>
      <c r="O1342" s="124" t="s">
        <v>35</v>
      </c>
      <c r="P1342" s="161">
        <f>N1342*55000</f>
        <v>11000000</v>
      </c>
      <c r="Q1342" s="125" t="s">
        <v>1655</v>
      </c>
      <c r="R1342" s="127">
        <v>1000</v>
      </c>
      <c r="S1342" s="124" t="s">
        <v>422</v>
      </c>
      <c r="T1342" s="161">
        <f>R1342*4000</f>
        <v>4000000</v>
      </c>
      <c r="U1342" s="124" t="s">
        <v>22</v>
      </c>
      <c r="V1342" s="124"/>
      <c r="W1342" s="124"/>
      <c r="X1342" s="124"/>
      <c r="Y1342" s="124">
        <v>90</v>
      </c>
      <c r="Z1342" s="124">
        <v>10</v>
      </c>
      <c r="AA1342" s="124">
        <v>0</v>
      </c>
      <c r="AB1342" s="124">
        <v>0</v>
      </c>
      <c r="AC1342" s="124"/>
    </row>
    <row r="1343" spans="1:32" ht="40" x14ac:dyDescent="0.2">
      <c r="A1343" s="17" t="s">
        <v>3921</v>
      </c>
      <c r="B1343" s="17" t="s">
        <v>45</v>
      </c>
      <c r="C1343" s="17">
        <v>2025</v>
      </c>
      <c r="D1343" s="17" t="str">
        <f t="array" ref="D1343">_xlfn.SWITCH(E1343,"Bagor","35.18.14","Sukomoro",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343" s="124" t="s">
        <v>103</v>
      </c>
      <c r="F1343" s="134" t="s">
        <v>2992</v>
      </c>
      <c r="G1343" s="134" t="s">
        <v>2993</v>
      </c>
      <c r="H1343" s="124" t="s">
        <v>2990</v>
      </c>
      <c r="I1343" s="124">
        <v>1</v>
      </c>
      <c r="J1343" s="124">
        <v>1</v>
      </c>
      <c r="K1343" s="124">
        <v>2</v>
      </c>
      <c r="L1343" s="127">
        <v>3000000</v>
      </c>
      <c r="M1343" s="125" t="s">
        <v>2747</v>
      </c>
      <c r="N1343" s="131">
        <v>200</v>
      </c>
      <c r="O1343" s="124" t="s">
        <v>35</v>
      </c>
      <c r="P1343" s="161">
        <f>N1343*55000</f>
        <v>11000000</v>
      </c>
      <c r="Q1343" s="125" t="s">
        <v>2657</v>
      </c>
      <c r="R1343" s="127">
        <v>1000</v>
      </c>
      <c r="S1343" s="124" t="s">
        <v>422</v>
      </c>
      <c r="T1343" s="161">
        <f>R1343*4000</f>
        <v>4000000</v>
      </c>
      <c r="U1343" s="124" t="s">
        <v>22</v>
      </c>
      <c r="V1343" s="124"/>
      <c r="W1343" s="124"/>
      <c r="X1343" s="124"/>
      <c r="Y1343" s="124">
        <v>90</v>
      </c>
      <c r="Z1343" s="124">
        <v>10</v>
      </c>
      <c r="AA1343" s="124">
        <v>0</v>
      </c>
      <c r="AB1343" s="124">
        <v>0</v>
      </c>
      <c r="AC1343" s="124"/>
    </row>
    <row r="1344" spans="1:32" ht="30" x14ac:dyDescent="0.2">
      <c r="A1344" s="17" t="s">
        <v>3921</v>
      </c>
      <c r="B1344" s="17" t="s">
        <v>45</v>
      </c>
      <c r="C1344" s="17">
        <v>2025</v>
      </c>
      <c r="D1344" s="17" t="str">
        <f t="array" ref="D1344">_xlfn.SWITCH(E1344,"Jatikalen","35.18.20","Kertosono", "35.18.08","Lengkong","35.18.19","Loceret","35.18.04","Tanjunganom","35.18.11","Wilangan","35.18.15")</f>
        <v>35.18.08</v>
      </c>
      <c r="E1344" s="124" t="s">
        <v>128</v>
      </c>
      <c r="F1344" s="134" t="s">
        <v>2994</v>
      </c>
      <c r="G1344" s="134" t="s">
        <v>2995</v>
      </c>
      <c r="H1344" s="124" t="s">
        <v>2990</v>
      </c>
      <c r="I1344" s="124">
        <v>1</v>
      </c>
      <c r="J1344" s="124">
        <v>1</v>
      </c>
      <c r="K1344" s="124">
        <v>2</v>
      </c>
      <c r="L1344" s="179">
        <v>4000000</v>
      </c>
      <c r="M1344" s="125" t="s">
        <v>1767</v>
      </c>
      <c r="N1344" s="164">
        <v>32000</v>
      </c>
      <c r="O1344" s="124" t="s">
        <v>422</v>
      </c>
      <c r="P1344" s="161">
        <v>25600000</v>
      </c>
      <c r="Q1344" s="134" t="s">
        <v>1787</v>
      </c>
      <c r="R1344" s="179">
        <v>2750</v>
      </c>
      <c r="S1344" s="124" t="s">
        <v>422</v>
      </c>
      <c r="T1344" s="161">
        <v>13750000</v>
      </c>
      <c r="U1344" s="124" t="s">
        <v>22</v>
      </c>
      <c r="V1344" s="177"/>
      <c r="W1344" s="124"/>
      <c r="X1344" s="124"/>
      <c r="Y1344" s="124">
        <v>60</v>
      </c>
      <c r="Z1344" s="124">
        <v>40</v>
      </c>
      <c r="AA1344" s="124">
        <v>0</v>
      </c>
      <c r="AB1344" s="124">
        <v>0</v>
      </c>
      <c r="AC1344" s="124"/>
    </row>
    <row r="1345" spans="1:32" s="183" customFormat="1" ht="20" x14ac:dyDescent="0.2">
      <c r="A1345" s="17" t="s">
        <v>3921</v>
      </c>
      <c r="B1345" s="17" t="s">
        <v>45</v>
      </c>
      <c r="C1345" s="17">
        <v>2025</v>
      </c>
      <c r="D1345" s="17" t="str">
        <f t="array" ref="D1345">_xlfn.SWITCH(E1345,"Bagor","35.18.14","Sukomoro",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345" s="16" t="s">
        <v>124</v>
      </c>
      <c r="F1345" s="17" t="s">
        <v>2996</v>
      </c>
      <c r="G1345" s="17" t="s">
        <v>2997</v>
      </c>
      <c r="H1345" s="16" t="s">
        <v>31</v>
      </c>
      <c r="I1345" s="16">
        <v>1</v>
      </c>
      <c r="J1345" s="16">
        <v>3</v>
      </c>
      <c r="K1345" s="16">
        <v>4</v>
      </c>
      <c r="L1345" s="18">
        <v>5000000</v>
      </c>
      <c r="M1345" s="180" t="s">
        <v>2998</v>
      </c>
      <c r="N1345" s="181">
        <v>1028</v>
      </c>
      <c r="O1345" s="16" t="s">
        <v>2341</v>
      </c>
      <c r="P1345" s="182">
        <v>8644000</v>
      </c>
      <c r="Q1345" s="19" t="s">
        <v>2528</v>
      </c>
      <c r="R1345" s="18">
        <v>1</v>
      </c>
      <c r="S1345" s="20" t="s">
        <v>962</v>
      </c>
      <c r="T1345" s="182">
        <v>10000000</v>
      </c>
      <c r="U1345" s="20" t="s">
        <v>22</v>
      </c>
      <c r="V1345" s="20" t="s">
        <v>50</v>
      </c>
      <c r="W1345" s="20">
        <v>3</v>
      </c>
      <c r="X1345" s="20" t="s">
        <v>2999</v>
      </c>
      <c r="Y1345" s="21">
        <v>1028</v>
      </c>
      <c r="Z1345" s="21"/>
      <c r="AA1345" s="21"/>
      <c r="AB1345" s="21"/>
      <c r="AC1345" s="21"/>
      <c r="AD1345" s="3"/>
      <c r="AE1345" s="1"/>
      <c r="AF1345" s="2"/>
    </row>
    <row r="1346" spans="1:32" s="183" customFormat="1" x14ac:dyDescent="0.2">
      <c r="A1346" s="17" t="s">
        <v>3921</v>
      </c>
      <c r="B1346" s="17" t="s">
        <v>45</v>
      </c>
      <c r="C1346" s="17">
        <v>2025</v>
      </c>
      <c r="D1346" s="17" t="str">
        <f t="array" ref="D1346">_xlfn.SWITCH(E1346,"Bagor","35.18.14","Sukomoro",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46" s="16" t="s">
        <v>3001</v>
      </c>
      <c r="F1346" s="17" t="s">
        <v>3000</v>
      </c>
      <c r="G1346" s="17" t="s">
        <v>3002</v>
      </c>
      <c r="H1346" s="16"/>
      <c r="I1346" s="16">
        <v>7</v>
      </c>
      <c r="J1346" s="16">
        <v>13</v>
      </c>
      <c r="K1346" s="16">
        <v>20</v>
      </c>
      <c r="L1346" s="18"/>
      <c r="M1346" s="17" t="s">
        <v>3003</v>
      </c>
      <c r="N1346" s="18"/>
      <c r="O1346" s="16"/>
      <c r="P1346" s="182">
        <v>1000000000</v>
      </c>
      <c r="Q1346" s="19" t="s">
        <v>3004</v>
      </c>
      <c r="R1346" s="18"/>
      <c r="S1346" s="20"/>
      <c r="T1346" s="182"/>
      <c r="U1346" s="20"/>
      <c r="V1346" s="20"/>
      <c r="W1346" s="20"/>
      <c r="X1346" s="20"/>
      <c r="Y1346" s="21"/>
      <c r="Z1346" s="21"/>
      <c r="AA1346" s="21"/>
      <c r="AB1346" s="21" t="s">
        <v>3005</v>
      </c>
      <c r="AC1346" s="21"/>
      <c r="AD1346" s="3"/>
      <c r="AE1346" s="1"/>
      <c r="AF1346" s="2"/>
    </row>
    <row r="1347" spans="1:32" s="183" customFormat="1" ht="30" x14ac:dyDescent="0.2">
      <c r="A1347" s="17" t="s">
        <v>3921</v>
      </c>
      <c r="B1347" s="17" t="s">
        <v>45</v>
      </c>
      <c r="C1347" s="17">
        <v>2025</v>
      </c>
      <c r="D1347" s="17" t="str">
        <f t="array" ref="D1347">_xlfn.SWITCH(E1347,"Jatikalen","35.18.20","Kertosono", "35.18.08","Lengkong","35.18.19","Loceret","35.18.04","Tanjunganom","35.18.11","Wilangan","35.18.15")</f>
        <v>35.18.11</v>
      </c>
      <c r="E1347" s="16" t="s">
        <v>60</v>
      </c>
      <c r="F1347" s="17" t="s">
        <v>59</v>
      </c>
      <c r="G1347" s="17" t="s">
        <v>3006</v>
      </c>
      <c r="H1347" s="16" t="s">
        <v>3007</v>
      </c>
      <c r="I1347" s="16">
        <v>0</v>
      </c>
      <c r="J1347" s="16">
        <v>3</v>
      </c>
      <c r="K1347" s="16">
        <v>3</v>
      </c>
      <c r="L1347" s="18">
        <v>20000000</v>
      </c>
      <c r="M1347" s="17" t="s">
        <v>3008</v>
      </c>
      <c r="N1347" s="18">
        <v>20</v>
      </c>
      <c r="O1347" s="16" t="s">
        <v>1459</v>
      </c>
      <c r="P1347" s="182">
        <v>20000000</v>
      </c>
      <c r="Q1347" s="19" t="s">
        <v>3009</v>
      </c>
      <c r="R1347" s="18">
        <v>10</v>
      </c>
      <c r="S1347" s="20" t="s">
        <v>422</v>
      </c>
      <c r="T1347" s="182">
        <v>20000000</v>
      </c>
      <c r="U1347" s="20" t="s">
        <v>3010</v>
      </c>
      <c r="V1347" s="20"/>
      <c r="W1347" s="20"/>
      <c r="X1347" s="20"/>
      <c r="Y1347" s="21" t="s">
        <v>3005</v>
      </c>
      <c r="Z1347" s="21" t="s">
        <v>3005</v>
      </c>
      <c r="AA1347" s="21"/>
      <c r="AB1347" s="21"/>
      <c r="AC1347" s="21"/>
      <c r="AD1347" s="3"/>
      <c r="AE1347" s="1"/>
      <c r="AF1347" s="2"/>
    </row>
    <row r="1348" spans="1:32" s="183" customFormat="1" ht="20" x14ac:dyDescent="0.2">
      <c r="A1348" s="17" t="s">
        <v>3921</v>
      </c>
      <c r="B1348" s="17" t="s">
        <v>45</v>
      </c>
      <c r="C1348" s="17">
        <v>2025</v>
      </c>
      <c r="D1348" s="17" t="str">
        <f t="array" ref="D1348">_xlfn.SWITCH(E1348,"Bagor","35.18.14","Sukomoro",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348" s="16" t="s">
        <v>124</v>
      </c>
      <c r="F1348" s="17" t="s">
        <v>3011</v>
      </c>
      <c r="G1348" s="17" t="s">
        <v>3012</v>
      </c>
      <c r="H1348" s="16" t="s">
        <v>3007</v>
      </c>
      <c r="I1348" s="16">
        <v>0</v>
      </c>
      <c r="J1348" s="16">
        <v>2</v>
      </c>
      <c r="K1348" s="16">
        <v>2</v>
      </c>
      <c r="L1348" s="18">
        <v>500000</v>
      </c>
      <c r="M1348" s="17" t="s">
        <v>1607</v>
      </c>
      <c r="N1348" s="18">
        <v>125</v>
      </c>
      <c r="O1348" s="16" t="s">
        <v>422</v>
      </c>
      <c r="P1348" s="182">
        <v>13250000</v>
      </c>
      <c r="Q1348" s="19" t="s">
        <v>3013</v>
      </c>
      <c r="R1348" s="18">
        <v>130</v>
      </c>
      <c r="S1348" s="20" t="s">
        <v>422</v>
      </c>
      <c r="T1348" s="182">
        <v>1500000</v>
      </c>
      <c r="U1348" s="20" t="s">
        <v>22</v>
      </c>
      <c r="V1348" s="20" t="s">
        <v>2579</v>
      </c>
      <c r="W1348" s="20">
        <v>10</v>
      </c>
      <c r="X1348" s="20" t="s">
        <v>3014</v>
      </c>
      <c r="Y1348" s="21" t="s">
        <v>3005</v>
      </c>
      <c r="Z1348" s="21"/>
      <c r="AA1348" s="21"/>
      <c r="AB1348" s="21"/>
      <c r="AC1348" s="21"/>
      <c r="AD1348" s="3"/>
      <c r="AE1348" s="1"/>
      <c r="AF1348" s="2"/>
    </row>
    <row r="1349" spans="1:32" s="183" customFormat="1" ht="20" x14ac:dyDescent="0.2">
      <c r="A1349" s="17" t="s">
        <v>3921</v>
      </c>
      <c r="B1349" s="17" t="s">
        <v>45</v>
      </c>
      <c r="C1349" s="17">
        <v>2025</v>
      </c>
      <c r="D1349" s="17" t="str">
        <f t="array" ref="D1349">_xlfn.SWITCH(E1349,"Bagor","35.18.14","Sukomoro",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49" s="16" t="s">
        <v>157</v>
      </c>
      <c r="F1349" s="17" t="s">
        <v>239</v>
      </c>
      <c r="G1349" s="17" t="s">
        <v>3015</v>
      </c>
      <c r="H1349" s="16" t="s">
        <v>3007</v>
      </c>
      <c r="I1349" s="16">
        <v>1</v>
      </c>
      <c r="J1349" s="16">
        <v>1</v>
      </c>
      <c r="K1349" s="16">
        <v>2</v>
      </c>
      <c r="L1349" s="18">
        <v>15000000</v>
      </c>
      <c r="M1349" s="17" t="s">
        <v>3016</v>
      </c>
      <c r="N1349" s="18">
        <v>1000</v>
      </c>
      <c r="O1349" s="16" t="s">
        <v>1049</v>
      </c>
      <c r="P1349" s="182">
        <v>16850000</v>
      </c>
      <c r="Q1349" s="19" t="s">
        <v>3017</v>
      </c>
      <c r="R1349" s="18">
        <v>12</v>
      </c>
      <c r="S1349" s="20" t="s">
        <v>3018</v>
      </c>
      <c r="T1349" s="182">
        <v>8050000</v>
      </c>
      <c r="U1349" s="20" t="s">
        <v>22</v>
      </c>
      <c r="V1349" s="20"/>
      <c r="W1349" s="20"/>
      <c r="X1349" s="20"/>
      <c r="Y1349" s="21"/>
      <c r="Z1349" s="21"/>
      <c r="AA1349" s="21"/>
      <c r="AB1349" s="21"/>
      <c r="AC1349" s="21"/>
      <c r="AD1349" s="3"/>
      <c r="AE1349" s="1"/>
      <c r="AF1349" s="2"/>
    </row>
    <row r="1350" spans="1:32" s="183" customFormat="1" x14ac:dyDescent="0.2">
      <c r="A1350" s="17" t="s">
        <v>3921</v>
      </c>
      <c r="B1350" s="17" t="s">
        <v>45</v>
      </c>
      <c r="C1350" s="17">
        <v>2025</v>
      </c>
      <c r="D1350" s="17" t="str">
        <f t="array" ref="D1350">_xlfn.SWITCH(E1350,"Jatikalen","35.18.20","Kertosono", "35.18.08","Lengkong","35.18.19","Loceret","35.18.04","Tanjunganom","35.18.11","Wilangan","35.18.15")</f>
        <v>35.18.11</v>
      </c>
      <c r="E1350" s="16" t="s">
        <v>3020</v>
      </c>
      <c r="F1350" s="17" t="s">
        <v>3019</v>
      </c>
      <c r="G1350" s="17" t="s">
        <v>3021</v>
      </c>
      <c r="H1350" s="16" t="s">
        <v>3007</v>
      </c>
      <c r="I1350" s="16">
        <v>4</v>
      </c>
      <c r="J1350" s="16">
        <v>0</v>
      </c>
      <c r="K1350" s="16">
        <v>4</v>
      </c>
      <c r="L1350" s="18"/>
      <c r="M1350" s="17" t="s">
        <v>3022</v>
      </c>
      <c r="N1350" s="18"/>
      <c r="O1350" s="16"/>
      <c r="P1350" s="182"/>
      <c r="Q1350" s="19" t="s">
        <v>3023</v>
      </c>
      <c r="R1350" s="18"/>
      <c r="S1350" s="20"/>
      <c r="T1350" s="182">
        <v>162000</v>
      </c>
      <c r="U1350" s="20" t="s">
        <v>22</v>
      </c>
      <c r="V1350" s="20"/>
      <c r="W1350" s="20"/>
      <c r="X1350" s="20"/>
      <c r="Y1350" s="21"/>
      <c r="Z1350" s="21"/>
      <c r="AA1350" s="21"/>
      <c r="AB1350" s="21"/>
      <c r="AC1350" s="21"/>
      <c r="AD1350" s="3"/>
      <c r="AE1350" s="1"/>
      <c r="AF1350" s="2"/>
    </row>
    <row r="1351" spans="1:32" s="183" customFormat="1" ht="20" x14ac:dyDescent="0.2">
      <c r="A1351" s="17" t="s">
        <v>3921</v>
      </c>
      <c r="B1351" s="17" t="s">
        <v>45</v>
      </c>
      <c r="C1351" s="17">
        <v>2025</v>
      </c>
      <c r="D1351" s="17" t="str">
        <f t="array" ref="D1351">_xlfn.SWITCH(E1351,"Bagor","35.18.14","Sukomoro",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51" s="16" t="s">
        <v>162</v>
      </c>
      <c r="F1351" s="17" t="s">
        <v>328</v>
      </c>
      <c r="G1351" s="17" t="s">
        <v>3024</v>
      </c>
      <c r="H1351" s="16" t="s">
        <v>3007</v>
      </c>
      <c r="I1351" s="16">
        <v>0</v>
      </c>
      <c r="J1351" s="16">
        <v>4</v>
      </c>
      <c r="K1351" s="16">
        <v>4</v>
      </c>
      <c r="L1351" s="18">
        <v>5000000</v>
      </c>
      <c r="M1351" s="17" t="s">
        <v>3025</v>
      </c>
      <c r="N1351" s="18"/>
      <c r="O1351" s="16"/>
      <c r="P1351" s="182">
        <v>50000000</v>
      </c>
      <c r="Q1351" s="19" t="s">
        <v>3026</v>
      </c>
      <c r="R1351" s="18">
        <v>3</v>
      </c>
      <c r="S1351" s="20" t="s">
        <v>3027</v>
      </c>
      <c r="T1351" s="182"/>
      <c r="U1351" s="20"/>
      <c r="V1351" s="20"/>
      <c r="W1351" s="20"/>
      <c r="X1351" s="20"/>
      <c r="Y1351" s="21" t="s">
        <v>3005</v>
      </c>
      <c r="Z1351" s="21"/>
      <c r="AA1351" s="21"/>
      <c r="AB1351" s="21"/>
      <c r="AC1351" s="21"/>
      <c r="AD1351" s="3"/>
      <c r="AE1351" s="1"/>
      <c r="AF1351" s="2"/>
    </row>
    <row r="1352" spans="1:32" s="183" customFormat="1" x14ac:dyDescent="0.2">
      <c r="A1352" s="17" t="s">
        <v>3921</v>
      </c>
      <c r="B1352" s="17" t="s">
        <v>45</v>
      </c>
      <c r="C1352" s="17">
        <v>2025</v>
      </c>
      <c r="D1352" s="17" t="str">
        <f t="array" ref="D1352">_xlfn.SWITCH(E1352,"Jatikalen","35.18.20","Kertosono", "35.18.08","Lengkong","35.18.19","Loceret","35.18.04","Tanjunganom","35.18.11","Wilangan","35.18.15")</f>
        <v>35.18.08</v>
      </c>
      <c r="E1352" s="16" t="s">
        <v>128</v>
      </c>
      <c r="F1352" s="17" t="s">
        <v>312</v>
      </c>
      <c r="G1352" s="17" t="s">
        <v>3028</v>
      </c>
      <c r="H1352" s="16" t="s">
        <v>3007</v>
      </c>
      <c r="I1352" s="16">
        <v>8</v>
      </c>
      <c r="J1352" s="16">
        <v>1</v>
      </c>
      <c r="K1352" s="16">
        <v>9</v>
      </c>
      <c r="L1352" s="18"/>
      <c r="M1352" s="17" t="s">
        <v>3029</v>
      </c>
      <c r="N1352" s="18"/>
      <c r="O1352" s="16"/>
      <c r="P1352" s="182">
        <v>20000000</v>
      </c>
      <c r="Q1352" s="19" t="s">
        <v>3030</v>
      </c>
      <c r="R1352" s="18">
        <v>3</v>
      </c>
      <c r="S1352" s="20" t="s">
        <v>3027</v>
      </c>
      <c r="T1352" s="182">
        <v>600000</v>
      </c>
      <c r="U1352" s="20" t="s">
        <v>22</v>
      </c>
      <c r="V1352" s="20" t="s">
        <v>2579</v>
      </c>
      <c r="W1352" s="20"/>
      <c r="X1352" s="20"/>
      <c r="Y1352" s="21" t="s">
        <v>3005</v>
      </c>
      <c r="Z1352" s="21"/>
      <c r="AA1352" s="21"/>
      <c r="AB1352" s="21"/>
      <c r="AC1352" s="21"/>
      <c r="AD1352" s="3"/>
      <c r="AE1352" s="1"/>
      <c r="AF1352" s="2"/>
    </row>
    <row r="1353" spans="1:32" s="183" customFormat="1" x14ac:dyDescent="0.2">
      <c r="A1353" s="17" t="s">
        <v>3921</v>
      </c>
      <c r="B1353" s="17" t="s">
        <v>45</v>
      </c>
      <c r="C1353" s="17">
        <v>2025</v>
      </c>
      <c r="D1353" s="17" t="str">
        <f t="array" ref="D1353">_xlfn.SWITCH(E1353,"Jatikalen","35.18.20","Kertosono", "35.18.08","Lengkong","35.18.19","Loceret","35.18.04","Tanjunganom","35.18.11","Wilangan","35.18.15")</f>
        <v>35.18.08</v>
      </c>
      <c r="E1353" s="16" t="s">
        <v>128</v>
      </c>
      <c r="F1353" s="17" t="s">
        <v>312</v>
      </c>
      <c r="G1353" s="17" t="s">
        <v>3031</v>
      </c>
      <c r="H1353" s="16" t="s">
        <v>3007</v>
      </c>
      <c r="I1353" s="16">
        <v>2</v>
      </c>
      <c r="J1353" s="16">
        <v>1</v>
      </c>
      <c r="K1353" s="16">
        <v>3</v>
      </c>
      <c r="L1353" s="18">
        <v>15000000</v>
      </c>
      <c r="M1353" s="17" t="s">
        <v>3032</v>
      </c>
      <c r="N1353" s="18">
        <v>130</v>
      </c>
      <c r="O1353" s="16" t="s">
        <v>3033</v>
      </c>
      <c r="P1353" s="182">
        <v>5050000</v>
      </c>
      <c r="Q1353" s="19" t="s">
        <v>3034</v>
      </c>
      <c r="R1353" s="29">
        <v>0.3</v>
      </c>
      <c r="S1353" s="20" t="s">
        <v>69</v>
      </c>
      <c r="T1353" s="182">
        <v>1000000</v>
      </c>
      <c r="U1353" s="20" t="s">
        <v>22</v>
      </c>
      <c r="V1353" s="20"/>
      <c r="W1353" s="20"/>
      <c r="X1353" s="20"/>
      <c r="Y1353" s="21" t="s">
        <v>3005</v>
      </c>
      <c r="Z1353" s="21"/>
      <c r="AA1353" s="21"/>
      <c r="AB1353" s="21" t="s">
        <v>3005</v>
      </c>
      <c r="AC1353" s="21"/>
      <c r="AD1353" s="3"/>
      <c r="AE1353" s="1"/>
      <c r="AF1353" s="2"/>
    </row>
    <row r="1354" spans="1:32" s="183" customFormat="1" x14ac:dyDescent="0.2">
      <c r="A1354" s="17" t="s">
        <v>3921</v>
      </c>
      <c r="B1354" s="17" t="s">
        <v>45</v>
      </c>
      <c r="C1354" s="17">
        <v>2025</v>
      </c>
      <c r="D1354" s="17" t="str">
        <f t="array" ref="D1354">_xlfn.SWITCH(E1354,"Bagor","35.18.14","Sukomoro",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54" s="16" t="s">
        <v>157</v>
      </c>
      <c r="F1354" s="17" t="s">
        <v>3035</v>
      </c>
      <c r="G1354" s="17" t="s">
        <v>3036</v>
      </c>
      <c r="H1354" s="16" t="s">
        <v>3007</v>
      </c>
      <c r="I1354" s="16">
        <v>1</v>
      </c>
      <c r="J1354" s="16">
        <v>2</v>
      </c>
      <c r="K1354" s="16">
        <v>3</v>
      </c>
      <c r="L1354" s="18">
        <v>10000000</v>
      </c>
      <c r="M1354" s="17" t="s">
        <v>1607</v>
      </c>
      <c r="N1354" s="18">
        <v>50</v>
      </c>
      <c r="O1354" s="16" t="s">
        <v>422</v>
      </c>
      <c r="P1354" s="182">
        <v>3500000</v>
      </c>
      <c r="Q1354" s="19" t="s">
        <v>3037</v>
      </c>
      <c r="R1354" s="18">
        <v>70</v>
      </c>
      <c r="S1354" s="20" t="s">
        <v>422</v>
      </c>
      <c r="T1354" s="182">
        <v>2800000</v>
      </c>
      <c r="U1354" s="20" t="s">
        <v>22</v>
      </c>
      <c r="V1354" s="20"/>
      <c r="W1354" s="20"/>
      <c r="X1354" s="20"/>
      <c r="Y1354" s="21" t="s">
        <v>3005</v>
      </c>
      <c r="Z1354" s="21"/>
      <c r="AA1354" s="21"/>
      <c r="AB1354" s="21"/>
      <c r="AC1354" s="21"/>
      <c r="AD1354" s="3"/>
      <c r="AE1354" s="1"/>
      <c r="AF1354" s="2"/>
    </row>
    <row r="1355" spans="1:32" s="183" customFormat="1" x14ac:dyDescent="0.2">
      <c r="A1355" s="17" t="s">
        <v>3921</v>
      </c>
      <c r="B1355" s="17" t="s">
        <v>45</v>
      </c>
      <c r="C1355" s="17">
        <v>2025</v>
      </c>
      <c r="D1355" s="17" t="str">
        <f t="array" ref="D1355">_xlfn.SWITCH(E1355,"Bagor","35.18.14","Sukomoro",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55" s="16" t="s">
        <v>162</v>
      </c>
      <c r="F1355" s="17" t="s">
        <v>328</v>
      </c>
      <c r="G1355" s="17" t="s">
        <v>3038</v>
      </c>
      <c r="H1355" s="16" t="s">
        <v>3007</v>
      </c>
      <c r="I1355" s="16">
        <v>1</v>
      </c>
      <c r="J1355" s="16">
        <v>1</v>
      </c>
      <c r="K1355" s="16">
        <v>2</v>
      </c>
      <c r="L1355" s="18">
        <v>20000000</v>
      </c>
      <c r="M1355" s="17" t="s">
        <v>3039</v>
      </c>
      <c r="N1355" s="18">
        <v>10000</v>
      </c>
      <c r="O1355" s="16" t="s">
        <v>2682</v>
      </c>
      <c r="P1355" s="182">
        <v>30000000</v>
      </c>
      <c r="Q1355" s="19" t="s">
        <v>3040</v>
      </c>
      <c r="R1355" s="18">
        <v>10000</v>
      </c>
      <c r="S1355" s="20"/>
      <c r="T1355" s="182">
        <v>20550000</v>
      </c>
      <c r="U1355" s="20" t="s">
        <v>22</v>
      </c>
      <c r="V1355" s="20" t="s">
        <v>2579</v>
      </c>
      <c r="W1355" s="20">
        <v>24</v>
      </c>
      <c r="X1355" s="20" t="s">
        <v>3014</v>
      </c>
      <c r="Y1355" s="21" t="s">
        <v>3005</v>
      </c>
      <c r="Z1355" s="21"/>
      <c r="AA1355" s="21"/>
      <c r="AB1355" s="21"/>
      <c r="AC1355" s="21"/>
      <c r="AD1355" s="3"/>
      <c r="AE1355" s="1"/>
      <c r="AF1355" s="2"/>
    </row>
    <row r="1356" spans="1:32" s="183" customFormat="1" x14ac:dyDescent="0.2">
      <c r="A1356" s="17" t="s">
        <v>3921</v>
      </c>
      <c r="B1356" s="17" t="s">
        <v>45</v>
      </c>
      <c r="C1356" s="17">
        <v>2025</v>
      </c>
      <c r="D1356" s="17" t="str">
        <f t="array" ref="D1356">_xlfn.SWITCH(E1356,"Bagor","35.18.14","Sukomoro",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356" s="16" t="s">
        <v>124</v>
      </c>
      <c r="F1356" s="17" t="s">
        <v>3041</v>
      </c>
      <c r="G1356" s="17" t="s">
        <v>3042</v>
      </c>
      <c r="H1356" s="16" t="s">
        <v>3007</v>
      </c>
      <c r="I1356" s="16">
        <v>0</v>
      </c>
      <c r="J1356" s="16">
        <v>1</v>
      </c>
      <c r="K1356" s="16">
        <v>1</v>
      </c>
      <c r="L1356" s="18">
        <v>3000000</v>
      </c>
      <c r="M1356" s="17" t="s">
        <v>3043</v>
      </c>
      <c r="N1356" s="18">
        <v>300</v>
      </c>
      <c r="O1356" s="16" t="s">
        <v>3044</v>
      </c>
      <c r="P1356" s="182">
        <v>2100000</v>
      </c>
      <c r="Q1356" s="19" t="s">
        <v>3045</v>
      </c>
      <c r="R1356" s="18"/>
      <c r="S1356" s="20"/>
      <c r="T1356" s="182"/>
      <c r="U1356" s="20" t="s">
        <v>22</v>
      </c>
      <c r="V1356" s="20"/>
      <c r="W1356" s="20"/>
      <c r="X1356" s="20"/>
      <c r="Y1356" s="21" t="s">
        <v>3005</v>
      </c>
      <c r="Z1356" s="21"/>
      <c r="AA1356" s="21"/>
      <c r="AB1356" s="21"/>
      <c r="AC1356" s="21"/>
      <c r="AD1356" s="3"/>
      <c r="AE1356" s="1"/>
      <c r="AF1356" s="2"/>
    </row>
    <row r="1357" spans="1:32" s="183" customFormat="1" x14ac:dyDescent="0.2">
      <c r="A1357" s="17" t="s">
        <v>3921</v>
      </c>
      <c r="B1357" s="17" t="s">
        <v>45</v>
      </c>
      <c r="C1357" s="17">
        <v>2025</v>
      </c>
      <c r="D1357" s="17" t="str">
        <f t="array" ref="D1357">_xlfn.SWITCH(E1357,"Bagor","35.18.14","Sukomoro",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57" s="16" t="s">
        <v>3047</v>
      </c>
      <c r="F1357" s="17" t="s">
        <v>3046</v>
      </c>
      <c r="G1357" s="17" t="s">
        <v>3048</v>
      </c>
      <c r="H1357" s="16" t="s">
        <v>3007</v>
      </c>
      <c r="I1357" s="16">
        <v>1</v>
      </c>
      <c r="J1357" s="16">
        <v>1</v>
      </c>
      <c r="K1357" s="16">
        <v>2</v>
      </c>
      <c r="L1357" s="18">
        <v>1500000</v>
      </c>
      <c r="M1357" s="17" t="s">
        <v>1607</v>
      </c>
      <c r="N1357" s="18">
        <v>25</v>
      </c>
      <c r="O1357" s="16" t="s">
        <v>422</v>
      </c>
      <c r="P1357" s="182">
        <v>2000000</v>
      </c>
      <c r="Q1357" s="19" t="s">
        <v>3049</v>
      </c>
      <c r="R1357" s="18">
        <v>70</v>
      </c>
      <c r="S1357" s="20" t="s">
        <v>422</v>
      </c>
      <c r="T1357" s="182">
        <v>210000</v>
      </c>
      <c r="U1357" s="20" t="s">
        <v>22</v>
      </c>
      <c r="V1357" s="20" t="s">
        <v>2579</v>
      </c>
      <c r="W1357" s="20">
        <v>9</v>
      </c>
      <c r="X1357" s="20" t="s">
        <v>3014</v>
      </c>
      <c r="Y1357" s="21" t="s">
        <v>3005</v>
      </c>
      <c r="Z1357" s="21" t="s">
        <v>3005</v>
      </c>
      <c r="AA1357" s="21"/>
      <c r="AB1357" s="21"/>
      <c r="AC1357" s="21"/>
      <c r="AD1357" s="3"/>
      <c r="AE1357" s="1"/>
      <c r="AF1357" s="2"/>
    </row>
    <row r="1358" spans="1:32" ht="20" x14ac:dyDescent="0.2">
      <c r="A1358" s="17" t="s">
        <v>3921</v>
      </c>
      <c r="B1358" s="17" t="s">
        <v>45</v>
      </c>
      <c r="C1358" s="17">
        <v>2025</v>
      </c>
      <c r="D1358" s="17" t="str">
        <f t="array" ref="D1358">_xlfn.SWITCH(E1358,"Bagor","35.18.14","Sukomoro",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358" s="16" t="s">
        <v>103</v>
      </c>
      <c r="F1358" s="17" t="s">
        <v>156</v>
      </c>
      <c r="G1358" s="17" t="s">
        <v>3050</v>
      </c>
      <c r="H1358" s="16" t="s">
        <v>3007</v>
      </c>
      <c r="I1358" s="16">
        <v>0</v>
      </c>
      <c r="J1358" s="16">
        <v>1</v>
      </c>
      <c r="K1358" s="16">
        <v>1</v>
      </c>
      <c r="L1358" s="18">
        <v>10000000</v>
      </c>
      <c r="M1358" s="17" t="s">
        <v>3051</v>
      </c>
      <c r="N1358" s="18">
        <v>100</v>
      </c>
      <c r="O1358" s="16" t="s">
        <v>3033</v>
      </c>
      <c r="P1358" s="182">
        <v>2000000</v>
      </c>
      <c r="Q1358" s="19" t="s">
        <v>3052</v>
      </c>
      <c r="R1358" s="18">
        <v>64</v>
      </c>
      <c r="S1358" s="20" t="s">
        <v>422</v>
      </c>
      <c r="T1358" s="182">
        <v>2125000</v>
      </c>
      <c r="U1358" s="20" t="s">
        <v>22</v>
      </c>
      <c r="V1358" s="20" t="s">
        <v>2579</v>
      </c>
      <c r="W1358" s="20">
        <v>4</v>
      </c>
      <c r="X1358" s="20" t="s">
        <v>3014</v>
      </c>
      <c r="Y1358" s="21" t="s">
        <v>3005</v>
      </c>
      <c r="Z1358" s="21"/>
      <c r="AA1358" s="21"/>
      <c r="AB1358" s="21"/>
      <c r="AC1358" s="21"/>
    </row>
    <row r="1359" spans="1:32" ht="20" x14ac:dyDescent="0.2">
      <c r="A1359" s="17" t="s">
        <v>3921</v>
      </c>
      <c r="B1359" s="17" t="s">
        <v>45</v>
      </c>
      <c r="C1359" s="17">
        <v>2025</v>
      </c>
      <c r="D1359" s="17" t="str">
        <f t="array" ref="D1359">_xlfn.SWITCH(E1359,"Bagor","35.18.14","Sukomoro",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59" s="16" t="s">
        <v>45</v>
      </c>
      <c r="F1359" s="17" t="s">
        <v>3053</v>
      </c>
      <c r="G1359" s="17" t="s">
        <v>3054</v>
      </c>
      <c r="H1359" s="16" t="s">
        <v>3007</v>
      </c>
      <c r="I1359" s="16">
        <v>1</v>
      </c>
      <c r="J1359" s="16">
        <v>2</v>
      </c>
      <c r="K1359" s="16">
        <v>3</v>
      </c>
      <c r="L1359" s="18">
        <v>5000000</v>
      </c>
      <c r="M1359" s="17"/>
      <c r="N1359" s="18"/>
      <c r="O1359" s="16"/>
      <c r="P1359" s="182">
        <v>5000000</v>
      </c>
      <c r="Q1359" s="19"/>
      <c r="R1359" s="18"/>
      <c r="S1359" s="20"/>
      <c r="T1359" s="182"/>
      <c r="U1359" s="20"/>
      <c r="V1359" s="20"/>
      <c r="W1359" s="20"/>
      <c r="X1359" s="20"/>
      <c r="Y1359" s="21"/>
      <c r="Z1359" s="21"/>
      <c r="AA1359" s="21"/>
      <c r="AB1359" s="21"/>
      <c r="AC1359" s="21"/>
    </row>
    <row r="1360" spans="1:32" ht="20" x14ac:dyDescent="0.2">
      <c r="A1360" s="17" t="s">
        <v>3921</v>
      </c>
      <c r="B1360" s="17" t="s">
        <v>45</v>
      </c>
      <c r="C1360" s="17">
        <v>2025</v>
      </c>
      <c r="D1360" s="17" t="str">
        <f t="array" ref="D1360">_xlfn.SWITCH(E1360,"Jatikalen","35.18.20","Kertosono", "35.18.08","Lengkong","35.18.19","Loceret","35.18.04","Tanjunganom","35.18.11","Wilangan","35.18.15")</f>
        <v>35.18.08</v>
      </c>
      <c r="E1360" s="16" t="s">
        <v>128</v>
      </c>
      <c r="F1360" s="17" t="s">
        <v>1032</v>
      </c>
      <c r="G1360" s="17" t="s">
        <v>3055</v>
      </c>
      <c r="H1360" s="16" t="s">
        <v>3007</v>
      </c>
      <c r="I1360" s="16">
        <v>2</v>
      </c>
      <c r="J1360" s="16">
        <v>2</v>
      </c>
      <c r="K1360" s="16">
        <v>4</v>
      </c>
      <c r="L1360" s="18">
        <v>4000000</v>
      </c>
      <c r="M1360" s="17" t="s">
        <v>1607</v>
      </c>
      <c r="N1360" s="18">
        <v>105</v>
      </c>
      <c r="O1360" s="16" t="s">
        <v>422</v>
      </c>
      <c r="P1360" s="182">
        <v>8400000</v>
      </c>
      <c r="Q1360" s="19" t="s">
        <v>3056</v>
      </c>
      <c r="R1360" s="18">
        <v>275</v>
      </c>
      <c r="S1360" s="20" t="s">
        <v>422</v>
      </c>
      <c r="T1360" s="182">
        <v>3115000</v>
      </c>
      <c r="U1360" s="20" t="s">
        <v>22</v>
      </c>
      <c r="V1360" s="20" t="s">
        <v>2579</v>
      </c>
      <c r="W1360" s="20">
        <v>1</v>
      </c>
      <c r="X1360" s="20" t="s">
        <v>3014</v>
      </c>
      <c r="Y1360" s="21" t="s">
        <v>3005</v>
      </c>
      <c r="Z1360" s="21" t="s">
        <v>3005</v>
      </c>
      <c r="AA1360" s="21"/>
      <c r="AB1360" s="21"/>
      <c r="AC1360" s="21"/>
    </row>
    <row r="1361" spans="1:29" x14ac:dyDescent="0.2">
      <c r="A1361" s="17" t="s">
        <v>3921</v>
      </c>
      <c r="B1361" s="17" t="s">
        <v>45</v>
      </c>
      <c r="C1361" s="17">
        <v>2025</v>
      </c>
      <c r="D1361" s="17" t="str">
        <f t="array" ref="D1361">_xlfn.SWITCH(E1361,"Jatikalen","35.18.20","Kertosono", "35.18.08","Lengkong","35.18.19","Loceret","35.18.04","Tanjunganom","35.18.11","Wilangan","35.18.15")</f>
        <v>35.18.08</v>
      </c>
      <c r="E1361" s="16" t="s">
        <v>128</v>
      </c>
      <c r="F1361" s="17" t="s">
        <v>127</v>
      </c>
      <c r="G1361" s="17" t="s">
        <v>3050</v>
      </c>
      <c r="H1361" s="16" t="s">
        <v>3007</v>
      </c>
      <c r="I1361" s="16">
        <v>1</v>
      </c>
      <c r="J1361" s="16">
        <v>1</v>
      </c>
      <c r="K1361" s="16">
        <v>2</v>
      </c>
      <c r="L1361" s="18">
        <v>5000000</v>
      </c>
      <c r="M1361" s="17" t="s">
        <v>3057</v>
      </c>
      <c r="N1361" s="18">
        <v>50</v>
      </c>
      <c r="O1361" s="16" t="s">
        <v>1420</v>
      </c>
      <c r="P1361" s="182">
        <v>15000000</v>
      </c>
      <c r="Q1361" s="19" t="s">
        <v>3051</v>
      </c>
      <c r="R1361" s="18">
        <v>14</v>
      </c>
      <c r="S1361" s="20" t="s">
        <v>422</v>
      </c>
      <c r="T1361" s="182">
        <v>1200000</v>
      </c>
      <c r="U1361" s="20" t="s">
        <v>22</v>
      </c>
      <c r="V1361" s="20"/>
      <c r="W1361" s="20"/>
      <c r="X1361" s="20"/>
      <c r="Y1361" s="21" t="s">
        <v>3005</v>
      </c>
      <c r="Z1361" s="21"/>
      <c r="AA1361" s="21"/>
      <c r="AB1361" s="21"/>
      <c r="AC1361" s="21"/>
    </row>
    <row r="1362" spans="1:29" ht="20" x14ac:dyDescent="0.2">
      <c r="A1362" s="17" t="s">
        <v>3921</v>
      </c>
      <c r="B1362" s="17" t="s">
        <v>45</v>
      </c>
      <c r="C1362" s="17">
        <v>2025</v>
      </c>
      <c r="D1362" s="17" t="str">
        <f t="array" ref="D1362">_xlfn.SWITCH(E1362,"Bagor","35.18.14","Sukomoro",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62" s="16" t="s">
        <v>3059</v>
      </c>
      <c r="F1362" s="17" t="s">
        <v>3058</v>
      </c>
      <c r="G1362" s="17" t="s">
        <v>3060</v>
      </c>
      <c r="H1362" s="16"/>
      <c r="I1362" s="16">
        <v>4</v>
      </c>
      <c r="J1362" s="16">
        <v>6</v>
      </c>
      <c r="K1362" s="16">
        <v>10</v>
      </c>
      <c r="L1362" s="18">
        <v>200000000</v>
      </c>
      <c r="M1362" s="17" t="s">
        <v>3061</v>
      </c>
      <c r="N1362" s="18">
        <v>1.5</v>
      </c>
      <c r="O1362" s="16" t="s">
        <v>962</v>
      </c>
      <c r="P1362" s="182">
        <v>15000000</v>
      </c>
      <c r="Q1362" s="19" t="s">
        <v>826</v>
      </c>
      <c r="R1362" s="18">
        <v>2</v>
      </c>
      <c r="S1362" s="20" t="s">
        <v>962</v>
      </c>
      <c r="T1362" s="182">
        <v>10000000</v>
      </c>
      <c r="U1362" s="20" t="s">
        <v>22</v>
      </c>
      <c r="V1362" s="20" t="s">
        <v>3062</v>
      </c>
      <c r="W1362" s="20">
        <v>3000</v>
      </c>
      <c r="X1362" s="20" t="s">
        <v>3063</v>
      </c>
      <c r="Y1362" s="21" t="s">
        <v>3005</v>
      </c>
      <c r="Z1362" s="21" t="s">
        <v>3005</v>
      </c>
      <c r="AA1362" s="21"/>
      <c r="AB1362" s="21"/>
      <c r="AC1362" s="21"/>
    </row>
    <row r="1363" spans="1:29" x14ac:dyDescent="0.2">
      <c r="A1363" s="17" t="s">
        <v>3921</v>
      </c>
      <c r="B1363" s="17" t="s">
        <v>45</v>
      </c>
      <c r="C1363" s="17">
        <v>2025</v>
      </c>
      <c r="D1363" s="17" t="str">
        <f t="array" ref="D1363">_xlfn.SWITCH(E1363,"Bagor","35.18.14","Sukomoro",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63" s="16" t="s">
        <v>3047</v>
      </c>
      <c r="F1363" s="17" t="s">
        <v>3064</v>
      </c>
      <c r="G1363" s="17" t="s">
        <v>3065</v>
      </c>
      <c r="H1363" s="16" t="s">
        <v>3007</v>
      </c>
      <c r="I1363" s="16">
        <v>1</v>
      </c>
      <c r="J1363" s="16">
        <v>2</v>
      </c>
      <c r="K1363" s="16">
        <v>3</v>
      </c>
      <c r="L1363" s="18">
        <v>25000000</v>
      </c>
      <c r="M1363" s="17" t="s">
        <v>3066</v>
      </c>
      <c r="N1363" s="18">
        <v>110</v>
      </c>
      <c r="O1363" s="16" t="s">
        <v>422</v>
      </c>
      <c r="P1363" s="182">
        <v>25000</v>
      </c>
      <c r="Q1363" s="19" t="s">
        <v>3067</v>
      </c>
      <c r="R1363" s="18">
        <v>110</v>
      </c>
      <c r="S1363" s="20" t="s">
        <v>422</v>
      </c>
      <c r="T1363" s="182">
        <v>39000</v>
      </c>
      <c r="U1363" s="20" t="s">
        <v>22</v>
      </c>
      <c r="V1363" s="20"/>
      <c r="W1363" s="20"/>
      <c r="X1363" s="20"/>
      <c r="Y1363" s="21"/>
      <c r="Z1363" s="21"/>
      <c r="AA1363" s="21"/>
      <c r="AB1363" s="21"/>
      <c r="AC1363" s="21"/>
    </row>
    <row r="1364" spans="1:29" x14ac:dyDescent="0.2">
      <c r="A1364" s="17" t="s">
        <v>3921</v>
      </c>
      <c r="B1364" s="17" t="s">
        <v>45</v>
      </c>
      <c r="C1364" s="17">
        <v>2025</v>
      </c>
      <c r="D1364" s="17" t="str">
        <f t="array" ref="D1364">_xlfn.SWITCH(E1364,"Bagor","35.18.14","Sukomoro",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364" s="16" t="s">
        <v>3069</v>
      </c>
      <c r="F1364" s="17" t="s">
        <v>3068</v>
      </c>
      <c r="G1364" s="17" t="s">
        <v>3070</v>
      </c>
      <c r="H1364" s="16" t="s">
        <v>3007</v>
      </c>
      <c r="I1364" s="16">
        <v>1</v>
      </c>
      <c r="J1364" s="16">
        <v>2</v>
      </c>
      <c r="K1364" s="16">
        <v>3</v>
      </c>
      <c r="L1364" s="18"/>
      <c r="M1364" s="17" t="s">
        <v>1607</v>
      </c>
      <c r="N1364" s="18">
        <v>50</v>
      </c>
      <c r="O1364" s="16" t="s">
        <v>422</v>
      </c>
      <c r="P1364" s="182">
        <v>3000000</v>
      </c>
      <c r="Q1364" s="19" t="s">
        <v>3049</v>
      </c>
      <c r="R1364" s="18"/>
      <c r="S1364" s="20"/>
      <c r="T1364" s="182"/>
      <c r="U1364" s="20"/>
      <c r="V1364" s="20"/>
      <c r="W1364" s="20"/>
      <c r="X1364" s="20"/>
      <c r="Y1364" s="21"/>
      <c r="Z1364" s="21"/>
      <c r="AA1364" s="21"/>
      <c r="AB1364" s="21"/>
      <c r="AC1364" s="21"/>
    </row>
    <row r="1365" spans="1:29" ht="20" x14ac:dyDescent="0.2">
      <c r="A1365" s="17" t="s">
        <v>3921</v>
      </c>
      <c r="B1365" s="17" t="s">
        <v>45</v>
      </c>
      <c r="C1365" s="17">
        <v>2025</v>
      </c>
      <c r="D1365" s="17" t="str">
        <f t="array" ref="D1365">_xlfn.SWITCH(E1365,"Bagor","35.18.14","Sukomoro",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65" s="16" t="s">
        <v>140</v>
      </c>
      <c r="F1365" s="17" t="s">
        <v>3071</v>
      </c>
      <c r="G1365" s="17" t="s">
        <v>3072</v>
      </c>
      <c r="H1365" s="16" t="s">
        <v>3007</v>
      </c>
      <c r="I1365" s="16">
        <v>0</v>
      </c>
      <c r="J1365" s="16">
        <v>2</v>
      </c>
      <c r="K1365" s="16">
        <v>2</v>
      </c>
      <c r="L1365" s="18"/>
      <c r="M1365" s="17" t="s">
        <v>3073</v>
      </c>
      <c r="N1365" s="18">
        <v>14</v>
      </c>
      <c r="O1365" s="16" t="s">
        <v>1398</v>
      </c>
      <c r="P1365" s="182">
        <v>2500000</v>
      </c>
      <c r="Q1365" s="19" t="s">
        <v>3074</v>
      </c>
      <c r="R1365" s="18">
        <v>146</v>
      </c>
      <c r="S1365" s="20" t="s">
        <v>3075</v>
      </c>
      <c r="T1365" s="182">
        <v>1422000</v>
      </c>
      <c r="U1365" s="20" t="s">
        <v>22</v>
      </c>
      <c r="V1365" s="20"/>
      <c r="W1365" s="20"/>
      <c r="X1365" s="20"/>
      <c r="Y1365" s="21" t="s">
        <v>3005</v>
      </c>
      <c r="Z1365" s="21" t="s">
        <v>3005</v>
      </c>
      <c r="AA1365" s="21"/>
      <c r="AB1365" s="21" t="s">
        <v>3005</v>
      </c>
      <c r="AC1365" s="21" t="s">
        <v>3076</v>
      </c>
    </row>
    <row r="1366" spans="1:29" ht="30" x14ac:dyDescent="0.2">
      <c r="A1366" s="17" t="s">
        <v>3921</v>
      </c>
      <c r="B1366" s="17" t="s">
        <v>45</v>
      </c>
      <c r="C1366" s="17">
        <v>2025</v>
      </c>
      <c r="D1366" s="17" t="str">
        <f t="array" ref="D1366">_xlfn.SWITCH(E1366,"Bagor","35.18.14","Sukomoro",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66" s="16" t="s">
        <v>3001</v>
      </c>
      <c r="F1366" s="17" t="s">
        <v>3001</v>
      </c>
      <c r="G1366" s="17" t="s">
        <v>3077</v>
      </c>
      <c r="H1366" s="16" t="s">
        <v>3007</v>
      </c>
      <c r="I1366" s="16">
        <v>0</v>
      </c>
      <c r="J1366" s="16">
        <v>2</v>
      </c>
      <c r="K1366" s="16">
        <v>2</v>
      </c>
      <c r="L1366" s="18">
        <v>2500000</v>
      </c>
      <c r="M1366" s="17" t="s">
        <v>3078</v>
      </c>
      <c r="N1366" s="18">
        <v>56</v>
      </c>
      <c r="O1366" s="16"/>
      <c r="P1366" s="182">
        <v>2500000</v>
      </c>
      <c r="Q1366" s="19" t="s">
        <v>3079</v>
      </c>
      <c r="R1366" s="18">
        <v>11</v>
      </c>
      <c r="S1366" s="20" t="s">
        <v>3080</v>
      </c>
      <c r="T1366" s="182">
        <v>325000</v>
      </c>
      <c r="U1366" s="20" t="s">
        <v>22</v>
      </c>
      <c r="V1366" s="20"/>
      <c r="W1366" s="20"/>
      <c r="X1366" s="20"/>
      <c r="Y1366" s="21"/>
      <c r="Z1366" s="21" t="s">
        <v>3005</v>
      </c>
      <c r="AA1366" s="21"/>
      <c r="AB1366" s="21"/>
      <c r="AC1366" s="21" t="s">
        <v>3081</v>
      </c>
    </row>
    <row r="1367" spans="1:29" x14ac:dyDescent="0.2">
      <c r="A1367" s="17" t="s">
        <v>3921</v>
      </c>
      <c r="B1367" s="17" t="s">
        <v>45</v>
      </c>
      <c r="C1367" s="17">
        <v>2025</v>
      </c>
      <c r="D1367" s="17" t="str">
        <f t="array" ref="D1367">_xlfn.SWITCH(E1367,"Jatikalen","35.18.20","Kertosono", "35.18.08","Lengkong","35.18.19","Loceret","35.18.04","Tanjunganom","35.18.11","Wilangan","35.18.15")</f>
        <v>35.18.04</v>
      </c>
      <c r="E1367" s="16" t="s">
        <v>41</v>
      </c>
      <c r="F1367" s="17" t="s">
        <v>3082</v>
      </c>
      <c r="G1367" s="17" t="s">
        <v>3083</v>
      </c>
      <c r="H1367" s="16" t="s">
        <v>3007</v>
      </c>
      <c r="I1367" s="16">
        <v>10</v>
      </c>
      <c r="J1367" s="16">
        <v>15</v>
      </c>
      <c r="K1367" s="16">
        <v>25</v>
      </c>
      <c r="L1367" s="18">
        <v>100000000</v>
      </c>
      <c r="M1367" s="17" t="s">
        <v>1313</v>
      </c>
      <c r="N1367" s="18">
        <v>2000</v>
      </c>
      <c r="O1367" s="16" t="s">
        <v>3084</v>
      </c>
      <c r="P1367" s="182">
        <v>10000000</v>
      </c>
      <c r="Q1367" s="19" t="s">
        <v>3085</v>
      </c>
      <c r="R1367" s="18">
        <v>2</v>
      </c>
      <c r="S1367" s="20" t="s">
        <v>3086</v>
      </c>
      <c r="T1367" s="182">
        <v>480000</v>
      </c>
      <c r="U1367" s="20"/>
      <c r="V1367" s="20"/>
      <c r="W1367" s="20"/>
      <c r="X1367" s="20"/>
      <c r="Y1367" s="21"/>
      <c r="Z1367" s="21" t="s">
        <v>3005</v>
      </c>
      <c r="AA1367" s="21" t="s">
        <v>3005</v>
      </c>
      <c r="AB1367" s="21"/>
      <c r="AC1367" s="21" t="s">
        <v>3087</v>
      </c>
    </row>
    <row r="1368" spans="1:29" x14ac:dyDescent="0.2">
      <c r="A1368" s="17" t="s">
        <v>3921</v>
      </c>
      <c r="B1368" s="17" t="s">
        <v>45</v>
      </c>
      <c r="C1368" s="17">
        <v>2025</v>
      </c>
      <c r="D1368" s="17" t="str">
        <f t="array" ref="D1368">_xlfn.SWITCH(E1368,"Jatikalen","35.18.20","Kertosono", "35.18.08","Lengkong","35.18.19","Loceret","35.18.04","Tanjunganom","35.18.11","Wilangan","35.18.15")</f>
        <v>35.18.04</v>
      </c>
      <c r="E1368" s="16" t="s">
        <v>41</v>
      </c>
      <c r="F1368" s="17" t="s">
        <v>3082</v>
      </c>
      <c r="G1368" s="17" t="s">
        <v>3088</v>
      </c>
      <c r="H1368" s="16" t="s">
        <v>3007</v>
      </c>
      <c r="I1368" s="16">
        <v>0</v>
      </c>
      <c r="J1368" s="16">
        <v>15</v>
      </c>
      <c r="K1368" s="16">
        <v>15</v>
      </c>
      <c r="L1368" s="18">
        <v>50000000</v>
      </c>
      <c r="M1368" s="17" t="s">
        <v>1313</v>
      </c>
      <c r="N1368" s="18">
        <v>2000</v>
      </c>
      <c r="O1368" s="16"/>
      <c r="P1368" s="182">
        <v>22000000</v>
      </c>
      <c r="Q1368" s="19" t="s">
        <v>1958</v>
      </c>
      <c r="R1368" s="18"/>
      <c r="S1368" s="20"/>
      <c r="T1368" s="182">
        <v>400000</v>
      </c>
      <c r="U1368" s="20" t="s">
        <v>262</v>
      </c>
      <c r="V1368" s="20"/>
      <c r="W1368" s="20"/>
      <c r="X1368" s="20"/>
      <c r="Y1368" s="21" t="s">
        <v>3005</v>
      </c>
      <c r="Z1368" s="21" t="s">
        <v>3005</v>
      </c>
      <c r="AA1368" s="21"/>
      <c r="AB1368" s="21"/>
      <c r="AC1368" s="21"/>
    </row>
    <row r="1369" spans="1:29" x14ac:dyDescent="0.2">
      <c r="A1369" s="17" t="s">
        <v>3921</v>
      </c>
      <c r="B1369" s="17" t="s">
        <v>45</v>
      </c>
      <c r="C1369" s="17">
        <v>2025</v>
      </c>
      <c r="D1369" s="17" t="str">
        <f t="array" ref="D1369">_xlfn.SWITCH(E1369,"Bagor","35.18.14","Sukomoro",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69" s="16" t="s">
        <v>157</v>
      </c>
      <c r="F1369" s="17" t="s">
        <v>312</v>
      </c>
      <c r="G1369" s="17" t="s">
        <v>3089</v>
      </c>
      <c r="H1369" s="16" t="s">
        <v>3007</v>
      </c>
      <c r="I1369" s="16">
        <v>3</v>
      </c>
      <c r="J1369" s="16">
        <v>0</v>
      </c>
      <c r="K1369" s="16">
        <v>3</v>
      </c>
      <c r="L1369" s="18">
        <v>500000</v>
      </c>
      <c r="M1369" s="17" t="s">
        <v>3090</v>
      </c>
      <c r="N1369" s="18">
        <v>13</v>
      </c>
      <c r="O1369" s="16" t="s">
        <v>1398</v>
      </c>
      <c r="P1369" s="182">
        <v>1500000</v>
      </c>
      <c r="Q1369" s="19" t="s">
        <v>3091</v>
      </c>
      <c r="R1369" s="18">
        <v>17</v>
      </c>
      <c r="S1369" s="20" t="s">
        <v>2341</v>
      </c>
      <c r="T1369" s="182">
        <v>540000</v>
      </c>
      <c r="U1369" s="20" t="s">
        <v>22</v>
      </c>
      <c r="V1369" s="20"/>
      <c r="W1369" s="20"/>
      <c r="X1369" s="20"/>
      <c r="Y1369" s="21" t="s">
        <v>3005</v>
      </c>
      <c r="Z1369" s="21" t="s">
        <v>3005</v>
      </c>
      <c r="AA1369" s="21"/>
      <c r="AB1369" s="21"/>
      <c r="AC1369" s="21"/>
    </row>
    <row r="1370" spans="1:29" x14ac:dyDescent="0.2">
      <c r="A1370" s="17" t="s">
        <v>3921</v>
      </c>
      <c r="B1370" s="17" t="s">
        <v>45</v>
      </c>
      <c r="C1370" s="17">
        <v>2025</v>
      </c>
      <c r="D1370" s="17" t="str">
        <f t="array" ref="D1370">_xlfn.SWITCH(E1370,"Bagor","35.18.14","Sukomoro",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370" s="16" t="s">
        <v>2530</v>
      </c>
      <c r="F1370" s="17" t="s">
        <v>3092</v>
      </c>
      <c r="G1370" s="17" t="s">
        <v>3093</v>
      </c>
      <c r="H1370" s="16" t="s">
        <v>3007</v>
      </c>
      <c r="I1370" s="16">
        <v>0</v>
      </c>
      <c r="J1370" s="16">
        <v>4</v>
      </c>
      <c r="K1370" s="16">
        <v>4</v>
      </c>
      <c r="L1370" s="18">
        <v>3000000</v>
      </c>
      <c r="M1370" s="17" t="s">
        <v>1607</v>
      </c>
      <c r="N1370" s="18">
        <v>30</v>
      </c>
      <c r="O1370" s="16" t="s">
        <v>422</v>
      </c>
      <c r="P1370" s="182">
        <v>2400000</v>
      </c>
      <c r="Q1370" s="19" t="s">
        <v>3049</v>
      </c>
      <c r="R1370" s="18">
        <v>25</v>
      </c>
      <c r="S1370" s="20" t="s">
        <v>3094</v>
      </c>
      <c r="T1370" s="182">
        <v>1250000</v>
      </c>
      <c r="U1370" s="20" t="s">
        <v>22</v>
      </c>
      <c r="V1370" s="20" t="s">
        <v>2579</v>
      </c>
      <c r="W1370" s="20">
        <v>1</v>
      </c>
      <c r="X1370" s="20" t="s">
        <v>3014</v>
      </c>
      <c r="Y1370" s="21" t="s">
        <v>3005</v>
      </c>
      <c r="Z1370" s="21" t="s">
        <v>3005</v>
      </c>
      <c r="AA1370" s="21"/>
      <c r="AB1370" s="21"/>
      <c r="AC1370" s="21"/>
    </row>
    <row r="1371" spans="1:29" ht="20" x14ac:dyDescent="0.2">
      <c r="A1371" s="17" t="s">
        <v>3921</v>
      </c>
      <c r="B1371" s="17" t="s">
        <v>45</v>
      </c>
      <c r="C1371" s="17">
        <v>2025</v>
      </c>
      <c r="D1371" s="17" t="str">
        <f t="array" ref="D1371">_xlfn.SWITCH(E1371,"Jatikalen","35.18.20","Kertosono", "35.18.08","Lengkong","35.18.19","Loceret","35.18.04","Tanjunganom","35.18.11","Wilangan","35.18.15")</f>
        <v>35.18.08</v>
      </c>
      <c r="E1371" s="16" t="s">
        <v>3096</v>
      </c>
      <c r="F1371" s="17" t="s">
        <v>3095</v>
      </c>
      <c r="G1371" s="17" t="s">
        <v>3097</v>
      </c>
      <c r="H1371" s="16" t="s">
        <v>3007</v>
      </c>
      <c r="I1371" s="16">
        <v>1</v>
      </c>
      <c r="J1371" s="16">
        <v>3</v>
      </c>
      <c r="K1371" s="16">
        <v>4</v>
      </c>
      <c r="L1371" s="18">
        <v>5000000</v>
      </c>
      <c r="M1371" s="17" t="s">
        <v>3098</v>
      </c>
      <c r="N1371" s="18">
        <v>40</v>
      </c>
      <c r="O1371" s="16" t="s">
        <v>422</v>
      </c>
      <c r="P1371" s="182">
        <v>10000000</v>
      </c>
      <c r="Q1371" s="19" t="s">
        <v>1768</v>
      </c>
      <c r="R1371" s="18">
        <v>2</v>
      </c>
      <c r="S1371" s="20" t="s">
        <v>1238</v>
      </c>
      <c r="T1371" s="182">
        <v>180000</v>
      </c>
      <c r="U1371" s="20" t="s">
        <v>22</v>
      </c>
      <c r="V1371" s="20" t="s">
        <v>2579</v>
      </c>
      <c r="W1371" s="20">
        <v>1</v>
      </c>
      <c r="X1371" s="20" t="s">
        <v>3014</v>
      </c>
      <c r="Y1371" s="21" t="s">
        <v>3005</v>
      </c>
      <c r="Z1371" s="21"/>
      <c r="AA1371" s="21"/>
      <c r="AB1371" s="21"/>
      <c r="AC1371" s="21"/>
    </row>
    <row r="1372" spans="1:29" ht="30" x14ac:dyDescent="0.2">
      <c r="A1372" s="17" t="s">
        <v>3921</v>
      </c>
      <c r="B1372" s="17" t="s">
        <v>45</v>
      </c>
      <c r="C1372" s="17">
        <v>2025</v>
      </c>
      <c r="D1372" s="17" t="str">
        <f t="array" ref="D1372">_xlfn.SWITCH(E1372,"Bagor","35.18.14","Sukomoro",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372" s="16" t="s">
        <v>92</v>
      </c>
      <c r="F1372" s="17" t="s">
        <v>3099</v>
      </c>
      <c r="G1372" s="17" t="s">
        <v>3100</v>
      </c>
      <c r="H1372" s="17" t="s">
        <v>31</v>
      </c>
      <c r="I1372" s="16">
        <v>3</v>
      </c>
      <c r="J1372" s="16">
        <v>5</v>
      </c>
      <c r="K1372" s="16">
        <v>8</v>
      </c>
      <c r="L1372" s="18">
        <v>100000000</v>
      </c>
      <c r="M1372" s="17" t="s">
        <v>258</v>
      </c>
      <c r="N1372" s="180">
        <v>800</v>
      </c>
      <c r="O1372" s="17" t="s">
        <v>3084</v>
      </c>
      <c r="P1372" s="180">
        <v>64000000</v>
      </c>
      <c r="Q1372" s="19" t="s">
        <v>3101</v>
      </c>
      <c r="R1372" s="180">
        <v>7</v>
      </c>
      <c r="S1372" s="19" t="s">
        <v>3084</v>
      </c>
      <c r="T1372" s="180">
        <v>44300000</v>
      </c>
      <c r="U1372" s="19" t="s">
        <v>3102</v>
      </c>
      <c r="V1372" s="19"/>
      <c r="W1372" s="19"/>
      <c r="X1372" s="19"/>
      <c r="Y1372" s="184"/>
      <c r="Z1372" s="184" t="s">
        <v>3005</v>
      </c>
      <c r="AA1372" s="184"/>
      <c r="AB1372" s="184"/>
      <c r="AC1372" s="184"/>
    </row>
    <row r="1373" spans="1:29" ht="20" x14ac:dyDescent="0.2">
      <c r="A1373" s="17" t="s">
        <v>3921</v>
      </c>
      <c r="B1373" s="17" t="s">
        <v>45</v>
      </c>
      <c r="C1373" s="17">
        <v>2025</v>
      </c>
      <c r="D1373" s="17" t="str">
        <f t="array" ref="D1373">_xlfn.SWITCH(E1373,"Bagor","35.18.14","Sukomoro",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73" s="16" t="s">
        <v>162</v>
      </c>
      <c r="F1373" s="17" t="s">
        <v>3103</v>
      </c>
      <c r="G1373" s="17" t="s">
        <v>3104</v>
      </c>
      <c r="H1373" s="17" t="s">
        <v>31</v>
      </c>
      <c r="I1373" s="16">
        <v>0</v>
      </c>
      <c r="J1373" s="16">
        <v>1</v>
      </c>
      <c r="K1373" s="16">
        <v>1</v>
      </c>
      <c r="L1373" s="18">
        <v>2500000</v>
      </c>
      <c r="M1373" s="17" t="s">
        <v>3105</v>
      </c>
      <c r="N1373" s="180">
        <v>10</v>
      </c>
      <c r="O1373" s="17" t="s">
        <v>1049</v>
      </c>
      <c r="P1373" s="180">
        <v>50000</v>
      </c>
      <c r="Q1373" s="19" t="s">
        <v>3106</v>
      </c>
      <c r="R1373" s="180">
        <v>9</v>
      </c>
      <c r="S1373" s="19" t="s">
        <v>1049</v>
      </c>
      <c r="T1373" s="180">
        <v>200000</v>
      </c>
      <c r="U1373" s="19" t="s">
        <v>22</v>
      </c>
      <c r="V1373" s="19"/>
      <c r="W1373" s="19"/>
      <c r="X1373" s="19"/>
      <c r="Y1373" s="184"/>
      <c r="Z1373" s="184"/>
      <c r="AA1373" s="184"/>
      <c r="AB1373" s="184"/>
      <c r="AC1373" s="184"/>
    </row>
    <row r="1374" spans="1:29" ht="40" x14ac:dyDescent="0.2">
      <c r="A1374" s="17" t="s">
        <v>3921</v>
      </c>
      <c r="B1374" s="17" t="s">
        <v>45</v>
      </c>
      <c r="C1374" s="17">
        <v>2025</v>
      </c>
      <c r="D1374" s="17" t="str">
        <f t="array" ref="D1374">_xlfn.SWITCH(E1374,"Jatikalen","35.18.20","Kertosono", "35.18.08","Lengkong","35.18.19","Loceret","35.18.04","Tanjunganom","35.18.11","Wilangan","35.18.15")</f>
        <v>35.18.04</v>
      </c>
      <c r="E1374" s="16" t="s">
        <v>41</v>
      </c>
      <c r="F1374" s="17" t="s">
        <v>3107</v>
      </c>
      <c r="G1374" s="17" t="s">
        <v>3108</v>
      </c>
      <c r="H1374" s="17" t="s">
        <v>31</v>
      </c>
      <c r="I1374" s="16">
        <v>3</v>
      </c>
      <c r="J1374" s="16">
        <v>1</v>
      </c>
      <c r="K1374" s="16">
        <v>4</v>
      </c>
      <c r="L1374" s="18">
        <v>15000000</v>
      </c>
      <c r="M1374" s="17" t="s">
        <v>3109</v>
      </c>
      <c r="N1374" s="180">
        <v>200</v>
      </c>
      <c r="O1374" s="17" t="s">
        <v>1420</v>
      </c>
      <c r="P1374" s="180">
        <v>8000000</v>
      </c>
      <c r="Q1374" s="19" t="s">
        <v>3110</v>
      </c>
      <c r="R1374" s="180">
        <v>4</v>
      </c>
      <c r="S1374" s="19" t="s">
        <v>1049</v>
      </c>
      <c r="T1374" s="180">
        <v>1570000</v>
      </c>
      <c r="U1374" s="19"/>
      <c r="V1374" s="19"/>
      <c r="W1374" s="19"/>
      <c r="X1374" s="19"/>
      <c r="Y1374" s="184"/>
      <c r="Z1374" s="184"/>
      <c r="AA1374" s="184"/>
      <c r="AB1374" s="184"/>
      <c r="AC1374" s="184"/>
    </row>
    <row r="1375" spans="1:29" ht="20" x14ac:dyDescent="0.2">
      <c r="A1375" s="17" t="s">
        <v>3921</v>
      </c>
      <c r="B1375" s="17" t="s">
        <v>45</v>
      </c>
      <c r="C1375" s="17">
        <v>2025</v>
      </c>
      <c r="D1375" s="17" t="str">
        <f t="array" ref="D1375">_xlfn.SWITCH(E1375,"Jatikalen","35.18.20","Kertosono", "35.18.08","Lengkong","35.18.19","Loceret","35.18.04","Tanjunganom","35.18.11","Wilangan","35.18.15")</f>
        <v>35.18.04</v>
      </c>
      <c r="E1375" s="16" t="s">
        <v>41</v>
      </c>
      <c r="F1375" s="17" t="s">
        <v>387</v>
      </c>
      <c r="G1375" s="17" t="s">
        <v>3111</v>
      </c>
      <c r="H1375" s="17" t="s">
        <v>31</v>
      </c>
      <c r="I1375" s="16">
        <v>3</v>
      </c>
      <c r="J1375" s="16">
        <v>3</v>
      </c>
      <c r="K1375" s="16">
        <v>6</v>
      </c>
      <c r="L1375" s="18">
        <v>50000000</v>
      </c>
      <c r="M1375" s="17" t="s">
        <v>258</v>
      </c>
      <c r="N1375" s="180">
        <v>600</v>
      </c>
      <c r="O1375" s="17" t="s">
        <v>3112</v>
      </c>
      <c r="P1375" s="180">
        <v>48000000</v>
      </c>
      <c r="Q1375" s="19" t="s">
        <v>3113</v>
      </c>
      <c r="R1375" s="180">
        <v>1207</v>
      </c>
      <c r="S1375" s="19" t="s">
        <v>3114</v>
      </c>
      <c r="T1375" s="180">
        <v>36201000</v>
      </c>
      <c r="U1375" s="19" t="s">
        <v>22</v>
      </c>
      <c r="V1375" s="19"/>
      <c r="W1375" s="19"/>
      <c r="X1375" s="19"/>
      <c r="Y1375" s="184"/>
      <c r="Z1375" s="184" t="s">
        <v>3005</v>
      </c>
      <c r="AA1375" s="184"/>
      <c r="AB1375" s="184"/>
      <c r="AC1375" s="184" t="s">
        <v>3115</v>
      </c>
    </row>
    <row r="1376" spans="1:29" ht="20" x14ac:dyDescent="0.2">
      <c r="A1376" s="17" t="s">
        <v>3921</v>
      </c>
      <c r="B1376" s="17" t="s">
        <v>45</v>
      </c>
      <c r="C1376" s="17">
        <v>2025</v>
      </c>
      <c r="D1376" s="17" t="str">
        <f t="array" ref="D1376">_xlfn.SWITCH(E1376,"Jatikalen","35.18.20","Kertosono", "35.18.08","Lengkong","35.18.19","Loceret","35.18.04","Tanjunganom","35.18.11","Wilangan","35.18.15")</f>
        <v>35.18.11</v>
      </c>
      <c r="E1376" s="16" t="s">
        <v>3020</v>
      </c>
      <c r="F1376" s="17" t="s">
        <v>3116</v>
      </c>
      <c r="G1376" s="17" t="s">
        <v>3117</v>
      </c>
      <c r="H1376" s="17" t="s">
        <v>31</v>
      </c>
      <c r="I1376" s="16">
        <v>1</v>
      </c>
      <c r="J1376" s="16">
        <v>1</v>
      </c>
      <c r="K1376" s="16">
        <v>2</v>
      </c>
      <c r="L1376" s="18"/>
      <c r="M1376" s="17" t="s">
        <v>3118</v>
      </c>
      <c r="N1376" s="180">
        <v>80</v>
      </c>
      <c r="O1376" s="17" t="s">
        <v>422</v>
      </c>
      <c r="P1376" s="180">
        <v>4000000</v>
      </c>
      <c r="Q1376" s="19" t="s">
        <v>3119</v>
      </c>
      <c r="R1376" s="180">
        <v>120</v>
      </c>
      <c r="S1376" s="19" t="s">
        <v>422</v>
      </c>
      <c r="T1376" s="180">
        <v>1840000</v>
      </c>
      <c r="U1376" s="19" t="s">
        <v>22</v>
      </c>
      <c r="V1376" s="19" t="s">
        <v>2579</v>
      </c>
      <c r="W1376" s="19">
        <v>5</v>
      </c>
      <c r="X1376" s="19" t="s">
        <v>3014</v>
      </c>
      <c r="Y1376" s="184" t="s">
        <v>3005</v>
      </c>
      <c r="Z1376" s="184" t="s">
        <v>3005</v>
      </c>
      <c r="AA1376" s="184"/>
      <c r="AB1376" s="184"/>
      <c r="AC1376" s="184" t="s">
        <v>3120</v>
      </c>
    </row>
    <row r="1377" spans="1:32" x14ac:dyDescent="0.2">
      <c r="A1377" s="17" t="s">
        <v>3921</v>
      </c>
      <c r="B1377" s="17" t="s">
        <v>45</v>
      </c>
      <c r="C1377" s="17">
        <v>2025</v>
      </c>
      <c r="D1377" s="17" t="str">
        <f t="array" ref="D1377">_xlfn.SWITCH(E1377,"Bagor","35.18.14","Sukomoro",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77" s="16" t="s">
        <v>3001</v>
      </c>
      <c r="F1377" s="17" t="s">
        <v>3121</v>
      </c>
      <c r="G1377" s="17" t="s">
        <v>3122</v>
      </c>
      <c r="H1377" s="17" t="s">
        <v>31</v>
      </c>
      <c r="I1377" s="16">
        <v>0</v>
      </c>
      <c r="J1377" s="16">
        <v>2</v>
      </c>
      <c r="K1377" s="16">
        <v>2</v>
      </c>
      <c r="L1377" s="18">
        <v>10000000</v>
      </c>
      <c r="M1377" s="17" t="s">
        <v>3123</v>
      </c>
      <c r="N1377" s="180">
        <v>180</v>
      </c>
      <c r="O1377" s="17" t="s">
        <v>422</v>
      </c>
      <c r="P1377" s="180">
        <v>13200000</v>
      </c>
      <c r="Q1377" s="19" t="s">
        <v>3124</v>
      </c>
      <c r="R1377" s="180">
        <v>200</v>
      </c>
      <c r="S1377" s="19" t="s">
        <v>422</v>
      </c>
      <c r="T1377" s="180">
        <v>9000000</v>
      </c>
      <c r="U1377" s="19" t="s">
        <v>22</v>
      </c>
      <c r="V1377" s="19"/>
      <c r="W1377" s="19"/>
      <c r="X1377" s="19"/>
      <c r="Y1377" s="184"/>
      <c r="Z1377" s="184"/>
      <c r="AA1377" s="184"/>
      <c r="AB1377" s="184"/>
      <c r="AC1377" s="184"/>
    </row>
    <row r="1378" spans="1:32" s="185" customFormat="1" ht="20" x14ac:dyDescent="0.35">
      <c r="A1378" s="17" t="s">
        <v>3921</v>
      </c>
      <c r="B1378" s="17" t="s">
        <v>45</v>
      </c>
      <c r="C1378" s="17">
        <v>2025</v>
      </c>
      <c r="D1378" s="17" t="str">
        <f t="array" ref="D1378">_xlfn.SWITCH(E1378,"Jatikalen","35.18.20","Kertosono", "35.18.08","Lengkong","35.18.19","Loceret","35.18.04","Tanjunganom","35.18.11","Wilangan","35.18.15")</f>
        <v>35.18.11</v>
      </c>
      <c r="E1378" s="16" t="s">
        <v>3020</v>
      </c>
      <c r="F1378" s="17" t="s">
        <v>3125</v>
      </c>
      <c r="G1378" s="17" t="s">
        <v>3126</v>
      </c>
      <c r="H1378" s="16" t="s">
        <v>31</v>
      </c>
      <c r="I1378" s="16">
        <v>2</v>
      </c>
      <c r="J1378" s="16">
        <v>2</v>
      </c>
      <c r="K1378" s="16">
        <v>4</v>
      </c>
      <c r="L1378" s="18"/>
      <c r="M1378" s="17" t="s">
        <v>3127</v>
      </c>
      <c r="N1378" s="182">
        <v>250</v>
      </c>
      <c r="O1378" s="16"/>
      <c r="P1378" s="182">
        <v>11250000</v>
      </c>
      <c r="Q1378" s="20" t="s">
        <v>3128</v>
      </c>
      <c r="R1378" s="182">
        <v>480</v>
      </c>
      <c r="S1378" s="20" t="s">
        <v>422</v>
      </c>
      <c r="T1378" s="182">
        <v>9600000</v>
      </c>
      <c r="U1378" s="20" t="s">
        <v>22</v>
      </c>
      <c r="V1378" s="20"/>
      <c r="W1378" s="20"/>
      <c r="X1378" s="20"/>
      <c r="Y1378" s="21"/>
      <c r="Z1378" s="21"/>
      <c r="AA1378" s="21"/>
      <c r="AB1378" s="21"/>
      <c r="AC1378" s="21"/>
      <c r="AD1378" s="43"/>
      <c r="AE1378" s="43"/>
      <c r="AF1378" s="43"/>
    </row>
    <row r="1379" spans="1:32" s="185" customFormat="1" ht="12.5" x14ac:dyDescent="0.35">
      <c r="A1379" s="17" t="s">
        <v>3921</v>
      </c>
      <c r="B1379" s="17" t="s">
        <v>45</v>
      </c>
      <c r="C1379" s="17">
        <v>2025</v>
      </c>
      <c r="D1379" s="17" t="str">
        <f t="array" ref="D1379">_xlfn.SWITCH(E1379,"Bagor","35.18.14","Sukomoro",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79" s="16" t="s">
        <v>2505</v>
      </c>
      <c r="F1379" s="17" t="s">
        <v>3129</v>
      </c>
      <c r="G1379" s="17" t="s">
        <v>3130</v>
      </c>
      <c r="H1379" s="16" t="s">
        <v>31</v>
      </c>
      <c r="I1379" s="16">
        <v>0</v>
      </c>
      <c r="J1379" s="16">
        <v>1</v>
      </c>
      <c r="K1379" s="16">
        <v>1</v>
      </c>
      <c r="L1379" s="18"/>
      <c r="M1379" s="17" t="s">
        <v>3131</v>
      </c>
      <c r="N1379" s="182"/>
      <c r="O1379" s="16"/>
      <c r="P1379" s="182">
        <v>5000000</v>
      </c>
      <c r="Q1379" s="20"/>
      <c r="R1379" s="182"/>
      <c r="S1379" s="20"/>
      <c r="T1379" s="182"/>
      <c r="U1379" s="20"/>
      <c r="V1379" s="20"/>
      <c r="W1379" s="20"/>
      <c r="X1379" s="20"/>
      <c r="Y1379" s="21"/>
      <c r="Z1379" s="21"/>
      <c r="AA1379" s="21"/>
      <c r="AB1379" s="21"/>
      <c r="AC1379" s="21" t="s">
        <v>3132</v>
      </c>
      <c r="AD1379" s="43"/>
      <c r="AE1379" s="43"/>
      <c r="AF1379" s="43"/>
    </row>
    <row r="1380" spans="1:32" x14ac:dyDescent="0.2">
      <c r="A1380" s="17" t="s">
        <v>3921</v>
      </c>
      <c r="B1380" s="17" t="s">
        <v>45</v>
      </c>
      <c r="C1380" s="17">
        <v>2025</v>
      </c>
      <c r="D1380" s="17" t="str">
        <f t="array" ref="D1380">_xlfn.SWITCH(E1380,"Bagor","35.18.14","Sukomoro",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380" s="16" t="s">
        <v>2530</v>
      </c>
      <c r="F1380" s="17" t="s">
        <v>3133</v>
      </c>
      <c r="G1380" s="17" t="s">
        <v>3134</v>
      </c>
      <c r="H1380" s="16" t="s">
        <v>31</v>
      </c>
      <c r="I1380" s="16">
        <v>1</v>
      </c>
      <c r="J1380" s="16">
        <v>1</v>
      </c>
      <c r="K1380" s="16">
        <v>2</v>
      </c>
      <c r="L1380" s="18">
        <v>10000000</v>
      </c>
      <c r="M1380" s="17" t="s">
        <v>3078</v>
      </c>
      <c r="N1380" s="182">
        <v>6</v>
      </c>
      <c r="O1380" s="16" t="s">
        <v>1398</v>
      </c>
      <c r="P1380" s="182">
        <v>1000000</v>
      </c>
      <c r="Q1380" s="20" t="s">
        <v>3135</v>
      </c>
      <c r="R1380" s="182">
        <v>21</v>
      </c>
      <c r="S1380" s="20" t="s">
        <v>1368</v>
      </c>
      <c r="T1380" s="182">
        <v>364000</v>
      </c>
      <c r="U1380" s="20"/>
      <c r="V1380" s="20"/>
      <c r="W1380" s="20"/>
      <c r="X1380" s="20"/>
      <c r="Y1380" s="21" t="s">
        <v>3005</v>
      </c>
      <c r="Z1380" s="21" t="s">
        <v>3005</v>
      </c>
      <c r="AA1380" s="21"/>
      <c r="AB1380" s="21"/>
      <c r="AC1380" s="21" t="s">
        <v>3136</v>
      </c>
    </row>
    <row r="1381" spans="1:32" x14ac:dyDescent="0.2">
      <c r="A1381" s="17" t="s">
        <v>3921</v>
      </c>
      <c r="B1381" s="17" t="s">
        <v>45</v>
      </c>
      <c r="C1381" s="17">
        <v>2025</v>
      </c>
      <c r="D1381" s="17" t="str">
        <f t="array" ref="D1381">_xlfn.SWITCH(E1381,"Jatikalen","35.18.20","Kertosono", "35.18.08","Lengkong","35.18.19","Loceret","35.18.04","Tanjunganom","35.18.11","Wilangan","35.18.15")</f>
        <v>35.18.11</v>
      </c>
      <c r="E1381" s="16" t="s">
        <v>3020</v>
      </c>
      <c r="F1381" s="17" t="s">
        <v>3125</v>
      </c>
      <c r="G1381" s="17" t="s">
        <v>3137</v>
      </c>
      <c r="H1381" s="16" t="s">
        <v>31</v>
      </c>
      <c r="I1381" s="16">
        <v>0</v>
      </c>
      <c r="J1381" s="16">
        <v>6</v>
      </c>
      <c r="K1381" s="16">
        <v>6</v>
      </c>
      <c r="L1381" s="18">
        <v>500000</v>
      </c>
      <c r="M1381" s="17" t="s">
        <v>3138</v>
      </c>
      <c r="N1381" s="182">
        <v>550</v>
      </c>
      <c r="O1381" s="16" t="s">
        <v>2341</v>
      </c>
      <c r="P1381" s="18" t="s">
        <v>3139</v>
      </c>
      <c r="Q1381" s="20" t="s">
        <v>1607</v>
      </c>
      <c r="R1381" s="182"/>
      <c r="S1381" s="20"/>
      <c r="T1381" s="182"/>
      <c r="U1381" s="20" t="s">
        <v>22</v>
      </c>
      <c r="V1381" s="20" t="s">
        <v>2579</v>
      </c>
      <c r="W1381" s="20">
        <v>6</v>
      </c>
      <c r="X1381" s="20" t="s">
        <v>3014</v>
      </c>
      <c r="Y1381" s="21" t="s">
        <v>3005</v>
      </c>
      <c r="Z1381" s="21"/>
      <c r="AA1381" s="21"/>
      <c r="AB1381" s="21"/>
      <c r="AC1381" s="21"/>
    </row>
    <row r="1382" spans="1:32" s="186" customFormat="1" ht="14.5" x14ac:dyDescent="0.35">
      <c r="A1382" s="17" t="s">
        <v>3921</v>
      </c>
      <c r="B1382" s="17" t="s">
        <v>45</v>
      </c>
      <c r="C1382" s="17">
        <v>2025</v>
      </c>
      <c r="D1382" s="17" t="str">
        <f t="array" ref="D1382">_xlfn.SWITCH(E1382,"Bagor","35.18.14","Sukomoro",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82" s="16" t="s">
        <v>157</v>
      </c>
      <c r="F1382" s="17" t="s">
        <v>3140</v>
      </c>
      <c r="G1382" s="17" t="s">
        <v>3141</v>
      </c>
      <c r="H1382" s="16" t="s">
        <v>31</v>
      </c>
      <c r="I1382" s="16">
        <v>2</v>
      </c>
      <c r="J1382" s="16">
        <v>0</v>
      </c>
      <c r="K1382" s="16">
        <v>2</v>
      </c>
      <c r="L1382" s="18" t="s">
        <v>3142</v>
      </c>
      <c r="M1382" s="17" t="s">
        <v>3143</v>
      </c>
      <c r="N1382" s="180"/>
      <c r="O1382" s="17"/>
      <c r="P1382" s="180">
        <v>100000000</v>
      </c>
      <c r="Q1382" s="19" t="s">
        <v>3144</v>
      </c>
      <c r="R1382" s="180">
        <v>100</v>
      </c>
      <c r="S1382" s="19"/>
      <c r="T1382" s="180"/>
      <c r="U1382" s="20" t="s">
        <v>22</v>
      </c>
      <c r="V1382" s="19"/>
      <c r="W1382" s="19"/>
      <c r="X1382" s="19"/>
      <c r="Y1382" s="184"/>
      <c r="Z1382" s="184"/>
      <c r="AA1382" s="184"/>
      <c r="AB1382" s="184"/>
      <c r="AC1382" s="184" t="s">
        <v>3145</v>
      </c>
      <c r="AD1382" s="41"/>
      <c r="AE1382" s="41"/>
      <c r="AF1382" s="41"/>
    </row>
    <row r="1383" spans="1:32" s="186" customFormat="1" ht="14.5" x14ac:dyDescent="0.35">
      <c r="A1383" s="17" t="s">
        <v>3921</v>
      </c>
      <c r="B1383" s="17" t="s">
        <v>45</v>
      </c>
      <c r="C1383" s="17">
        <v>2025</v>
      </c>
      <c r="D1383" s="17" t="str">
        <f t="array" ref="D1383">_xlfn.SWITCH(E1383,"Bagor","35.18.14","Sukomoro",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83" s="16" t="s">
        <v>29</v>
      </c>
      <c r="F1383" s="17" t="s">
        <v>3146</v>
      </c>
      <c r="G1383" s="17" t="s">
        <v>3147</v>
      </c>
      <c r="H1383" s="16" t="s">
        <v>81</v>
      </c>
      <c r="I1383" s="16">
        <v>3</v>
      </c>
      <c r="J1383" s="16">
        <v>0</v>
      </c>
      <c r="K1383" s="16">
        <v>3</v>
      </c>
      <c r="L1383" s="18"/>
      <c r="M1383" s="17" t="s">
        <v>1147</v>
      </c>
      <c r="N1383" s="180">
        <v>250</v>
      </c>
      <c r="O1383" s="17" t="s">
        <v>962</v>
      </c>
      <c r="P1383" s="18" t="s">
        <v>3148</v>
      </c>
      <c r="Q1383" s="19" t="s">
        <v>3149</v>
      </c>
      <c r="R1383" s="180"/>
      <c r="S1383" s="19"/>
      <c r="T1383" s="18" t="s">
        <v>3150</v>
      </c>
      <c r="U1383" s="19"/>
      <c r="V1383" s="19"/>
      <c r="W1383" s="19"/>
      <c r="X1383" s="19"/>
      <c r="Y1383" s="184"/>
      <c r="Z1383" s="184"/>
      <c r="AA1383" s="184"/>
      <c r="AB1383" s="184"/>
      <c r="AC1383" s="184" t="s">
        <v>3151</v>
      </c>
      <c r="AD1383" s="41"/>
      <c r="AE1383" s="41"/>
      <c r="AF1383" s="41"/>
    </row>
    <row r="1384" spans="1:32" s="187" customFormat="1" ht="14.5" x14ac:dyDescent="0.35">
      <c r="A1384" s="17" t="s">
        <v>3921</v>
      </c>
      <c r="B1384" s="17" t="s">
        <v>45</v>
      </c>
      <c r="C1384" s="17">
        <v>2025</v>
      </c>
      <c r="D1384" s="17" t="str">
        <f t="array" ref="D1384">_xlfn.SWITCH(E1384,"Bagor","35.18.14","Sukomoro",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84" s="16" t="s">
        <v>2505</v>
      </c>
      <c r="F1384" s="17" t="s">
        <v>3152</v>
      </c>
      <c r="G1384" s="17" t="s">
        <v>3153</v>
      </c>
      <c r="H1384" s="16" t="s">
        <v>31</v>
      </c>
      <c r="I1384" s="16">
        <v>1</v>
      </c>
      <c r="J1384" s="16">
        <v>4</v>
      </c>
      <c r="K1384" s="16">
        <v>5</v>
      </c>
      <c r="L1384" s="18" t="s">
        <v>3154</v>
      </c>
      <c r="M1384" s="17" t="s">
        <v>258</v>
      </c>
      <c r="N1384" s="182">
        <v>100</v>
      </c>
      <c r="O1384" s="16" t="s">
        <v>1803</v>
      </c>
      <c r="P1384" s="18">
        <v>6500000</v>
      </c>
      <c r="Q1384" s="20" t="s">
        <v>3155</v>
      </c>
      <c r="R1384" s="182">
        <v>1</v>
      </c>
      <c r="S1384" s="20" t="s">
        <v>2896</v>
      </c>
      <c r="T1384" s="182">
        <v>5700000</v>
      </c>
      <c r="U1384" s="20" t="s">
        <v>3156</v>
      </c>
      <c r="V1384" s="20" t="s">
        <v>3062</v>
      </c>
      <c r="W1384" s="20">
        <v>2200</v>
      </c>
      <c r="X1384" s="20" t="s">
        <v>3063</v>
      </c>
      <c r="Y1384" s="21" t="s">
        <v>3005</v>
      </c>
      <c r="Z1384" s="21" t="s">
        <v>3005</v>
      </c>
      <c r="AA1384" s="21"/>
      <c r="AB1384" s="21"/>
      <c r="AC1384" s="21"/>
      <c r="AD1384" s="43"/>
      <c r="AE1384" s="43"/>
      <c r="AF1384" s="43"/>
    </row>
    <row r="1385" spans="1:32" s="187" customFormat="1" ht="20" x14ac:dyDescent="0.35">
      <c r="A1385" s="17" t="s">
        <v>3921</v>
      </c>
      <c r="B1385" s="17" t="s">
        <v>45</v>
      </c>
      <c r="C1385" s="17">
        <v>2025</v>
      </c>
      <c r="D1385" s="17" t="str">
        <f t="array" ref="D1385">_xlfn.SWITCH(E1385,"Jatikalen","35.18.20","Kertosono", "35.18.08","Lengkong","35.18.19","Loceret","35.18.04","Tanjunganom","35.18.11","Wilangan","35.18.15")</f>
        <v>35.18.11</v>
      </c>
      <c r="E1385" s="16" t="s">
        <v>3020</v>
      </c>
      <c r="F1385" s="17" t="s">
        <v>3157</v>
      </c>
      <c r="G1385" s="17" t="s">
        <v>3158</v>
      </c>
      <c r="H1385" s="16" t="s">
        <v>31</v>
      </c>
      <c r="I1385" s="16">
        <v>0</v>
      </c>
      <c r="J1385" s="16">
        <v>2</v>
      </c>
      <c r="K1385" s="16">
        <v>2</v>
      </c>
      <c r="L1385" s="18">
        <v>10000000</v>
      </c>
      <c r="M1385" s="17" t="s">
        <v>3159</v>
      </c>
      <c r="N1385" s="182">
        <v>44</v>
      </c>
      <c r="O1385" s="16" t="s">
        <v>422</v>
      </c>
      <c r="P1385" s="182">
        <v>4324200</v>
      </c>
      <c r="Q1385" s="20" t="s">
        <v>3160</v>
      </c>
      <c r="R1385" s="182">
        <v>31</v>
      </c>
      <c r="S1385" s="20" t="s">
        <v>422</v>
      </c>
      <c r="T1385" s="182">
        <v>724000</v>
      </c>
      <c r="U1385" s="20" t="s">
        <v>22</v>
      </c>
      <c r="V1385" s="20" t="s">
        <v>2579</v>
      </c>
      <c r="W1385" s="20">
        <v>3</v>
      </c>
      <c r="X1385" s="20" t="s">
        <v>3161</v>
      </c>
      <c r="Y1385" s="21" t="s">
        <v>3005</v>
      </c>
      <c r="Z1385" s="21" t="s">
        <v>3005</v>
      </c>
      <c r="AA1385" s="21"/>
      <c r="AB1385" s="21"/>
      <c r="AC1385" s="21" t="s">
        <v>3162</v>
      </c>
      <c r="AD1385" s="43"/>
      <c r="AE1385" s="43"/>
      <c r="AF1385" s="43"/>
    </row>
    <row r="1386" spans="1:32" s="187" customFormat="1" ht="20" x14ac:dyDescent="0.35">
      <c r="A1386" s="17" t="s">
        <v>3921</v>
      </c>
      <c r="B1386" s="17" t="s">
        <v>45</v>
      </c>
      <c r="C1386" s="17">
        <v>2025</v>
      </c>
      <c r="D1386" s="17" t="str">
        <f t="array" ref="D1386">_xlfn.SWITCH(E1386,"Bagor","35.18.14","Sukomoro",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86" s="16" t="s">
        <v>140</v>
      </c>
      <c r="F1386" s="17" t="s">
        <v>3163</v>
      </c>
      <c r="G1386" s="17" t="s">
        <v>3164</v>
      </c>
      <c r="H1386" s="16" t="s">
        <v>31</v>
      </c>
      <c r="I1386" s="16">
        <v>5</v>
      </c>
      <c r="J1386" s="16">
        <v>11</v>
      </c>
      <c r="K1386" s="16">
        <v>16</v>
      </c>
      <c r="L1386" s="38">
        <v>5000000</v>
      </c>
      <c r="M1386" s="17" t="s">
        <v>2264</v>
      </c>
      <c r="N1386" s="16"/>
      <c r="O1386" s="16"/>
      <c r="P1386" s="188">
        <v>5000000</v>
      </c>
      <c r="Q1386" s="16"/>
      <c r="R1386" s="16"/>
      <c r="S1386" s="16"/>
      <c r="T1386" s="16"/>
      <c r="U1386" s="16"/>
      <c r="V1386" s="16"/>
      <c r="W1386" s="16"/>
      <c r="X1386" s="16"/>
      <c r="Y1386" s="20"/>
      <c r="Z1386" s="20"/>
      <c r="AA1386" s="20"/>
      <c r="AB1386" s="21"/>
      <c r="AC1386" s="21"/>
      <c r="AD1386" s="43"/>
      <c r="AE1386" s="43"/>
      <c r="AF1386" s="43"/>
    </row>
    <row r="1387" spans="1:32" s="187" customFormat="1" ht="20" x14ac:dyDescent="0.35">
      <c r="A1387" s="17" t="s">
        <v>3921</v>
      </c>
      <c r="B1387" s="17" t="s">
        <v>45</v>
      </c>
      <c r="C1387" s="17">
        <v>2025</v>
      </c>
      <c r="D1387" s="17" t="str">
        <f t="array" ref="D1387">_xlfn.SWITCH(E1387,"Bagor","35.18.14","Sukomoro",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87" s="16" t="s">
        <v>140</v>
      </c>
      <c r="F1387" s="17" t="s">
        <v>3165</v>
      </c>
      <c r="G1387" s="17" t="s">
        <v>3166</v>
      </c>
      <c r="H1387" s="16" t="s">
        <v>31</v>
      </c>
      <c r="I1387" s="16">
        <v>2</v>
      </c>
      <c r="J1387" s="16">
        <v>2</v>
      </c>
      <c r="K1387" s="16">
        <v>4</v>
      </c>
      <c r="L1387" s="38">
        <v>1000000</v>
      </c>
      <c r="M1387" s="17" t="s">
        <v>2264</v>
      </c>
      <c r="N1387" s="16"/>
      <c r="O1387" s="16"/>
      <c r="P1387" s="188">
        <v>5000000</v>
      </c>
      <c r="Q1387" s="16"/>
      <c r="R1387" s="16"/>
      <c r="S1387" s="16"/>
      <c r="T1387" s="16"/>
      <c r="U1387" s="16"/>
      <c r="V1387" s="16"/>
      <c r="W1387" s="16"/>
      <c r="X1387" s="16"/>
      <c r="Y1387" s="20"/>
      <c r="Z1387" s="20"/>
      <c r="AA1387" s="20"/>
      <c r="AB1387" s="21"/>
      <c r="AC1387" s="21"/>
      <c r="AD1387" s="43"/>
      <c r="AE1387" s="43"/>
      <c r="AF1387" s="43"/>
    </row>
    <row r="1388" spans="1:32" s="190" customFormat="1" ht="20" x14ac:dyDescent="0.35">
      <c r="A1388" s="17" t="s">
        <v>3921</v>
      </c>
      <c r="B1388" s="17" t="s">
        <v>45</v>
      </c>
      <c r="C1388" s="17">
        <v>2025</v>
      </c>
      <c r="D1388" s="17" t="str">
        <f t="array" ref="D1388">_xlfn.SWITCH(E1388,"Bagor","35.18.14","Sukomoro",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88" s="16" t="s">
        <v>140</v>
      </c>
      <c r="F1388" s="17" t="s">
        <v>3167</v>
      </c>
      <c r="G1388" s="17" t="s">
        <v>3168</v>
      </c>
      <c r="H1388" s="16" t="s">
        <v>31</v>
      </c>
      <c r="I1388" s="16">
        <v>2</v>
      </c>
      <c r="J1388" s="16">
        <v>0</v>
      </c>
      <c r="K1388" s="16">
        <v>2</v>
      </c>
      <c r="L1388" s="189">
        <v>1000000</v>
      </c>
      <c r="M1388" s="17" t="s">
        <v>2264</v>
      </c>
      <c r="N1388" s="10"/>
      <c r="O1388" s="10"/>
      <c r="P1388" s="188">
        <v>5000000</v>
      </c>
      <c r="Q1388" s="10"/>
      <c r="R1388" s="10"/>
      <c r="S1388" s="10"/>
      <c r="T1388" s="10"/>
      <c r="U1388" s="10"/>
      <c r="V1388" s="10"/>
      <c r="W1388" s="10"/>
      <c r="X1388" s="10"/>
      <c r="Y1388" s="10"/>
      <c r="Z1388" s="10"/>
      <c r="AA1388" s="10"/>
      <c r="AB1388" s="10"/>
      <c r="AC1388" s="10"/>
      <c r="AD1388" s="1"/>
      <c r="AE1388" s="1"/>
      <c r="AF1388" s="1"/>
    </row>
    <row r="1389" spans="1:32" s="190" customFormat="1" ht="20" x14ac:dyDescent="0.35">
      <c r="A1389" s="17" t="s">
        <v>3921</v>
      </c>
      <c r="B1389" s="17" t="s">
        <v>45</v>
      </c>
      <c r="C1389" s="17">
        <v>2025</v>
      </c>
      <c r="D1389" s="17" t="str">
        <f t="array" ref="D1389">_xlfn.SWITCH(E1389,"Bagor","35.18.14","Sukomoro",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89" s="16" t="s">
        <v>140</v>
      </c>
      <c r="F1389" s="17" t="s">
        <v>3169</v>
      </c>
      <c r="G1389" s="17" t="s">
        <v>3170</v>
      </c>
      <c r="H1389" s="16" t="s">
        <v>31</v>
      </c>
      <c r="I1389" s="16">
        <v>10</v>
      </c>
      <c r="J1389" s="16">
        <v>4</v>
      </c>
      <c r="K1389" s="16">
        <v>14</v>
      </c>
      <c r="L1389" s="189">
        <v>4000000</v>
      </c>
      <c r="M1389" s="17" t="s">
        <v>2264</v>
      </c>
      <c r="N1389" s="10"/>
      <c r="O1389" s="10"/>
      <c r="P1389" s="188">
        <v>5000000</v>
      </c>
      <c r="Q1389" s="10"/>
      <c r="R1389" s="10"/>
      <c r="S1389" s="10"/>
      <c r="T1389" s="10"/>
      <c r="U1389" s="10"/>
      <c r="V1389" s="10"/>
      <c r="W1389" s="10"/>
      <c r="X1389" s="10"/>
      <c r="Y1389" s="10"/>
      <c r="Z1389" s="10"/>
      <c r="AA1389" s="10"/>
      <c r="AB1389" s="10"/>
      <c r="AC1389" s="10"/>
      <c r="AD1389" s="1"/>
      <c r="AE1389" s="1"/>
      <c r="AF1389" s="1"/>
    </row>
    <row r="1390" spans="1:32" s="191" customFormat="1" ht="20" x14ac:dyDescent="0.25">
      <c r="A1390" s="17" t="s">
        <v>3921</v>
      </c>
      <c r="B1390" s="17" t="s">
        <v>45</v>
      </c>
      <c r="C1390" s="17">
        <v>2025</v>
      </c>
      <c r="D1390" s="17" t="str">
        <f t="array" ref="D1390">_xlfn.SWITCH(E1390,"Bagor","35.18.14","Sukomoro",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90" s="16" t="s">
        <v>140</v>
      </c>
      <c r="F1390" s="17" t="s">
        <v>3171</v>
      </c>
      <c r="G1390" s="17" t="s">
        <v>3172</v>
      </c>
      <c r="H1390" s="16" t="s">
        <v>31</v>
      </c>
      <c r="I1390" s="16">
        <v>2</v>
      </c>
      <c r="J1390" s="16">
        <v>0</v>
      </c>
      <c r="K1390" s="16">
        <v>2</v>
      </c>
      <c r="L1390" s="189">
        <v>1000000</v>
      </c>
      <c r="M1390" s="17" t="s">
        <v>2264</v>
      </c>
      <c r="N1390" s="10"/>
      <c r="O1390" s="10"/>
      <c r="P1390" s="188">
        <v>5000000</v>
      </c>
      <c r="Q1390" s="10"/>
      <c r="R1390" s="10"/>
      <c r="S1390" s="10"/>
      <c r="T1390" s="10"/>
      <c r="U1390" s="10"/>
      <c r="V1390" s="10"/>
      <c r="W1390" s="10"/>
      <c r="X1390" s="10"/>
      <c r="Y1390" s="10"/>
      <c r="Z1390" s="10"/>
      <c r="AA1390" s="10"/>
      <c r="AB1390" s="10"/>
      <c r="AC1390" s="10"/>
      <c r="AD1390" s="1"/>
      <c r="AE1390" s="1"/>
      <c r="AF1390" s="1"/>
    </row>
    <row r="1391" spans="1:32" s="191" customFormat="1" ht="20" x14ac:dyDescent="0.25">
      <c r="A1391" s="17" t="s">
        <v>3921</v>
      </c>
      <c r="B1391" s="17" t="s">
        <v>45</v>
      </c>
      <c r="C1391" s="17">
        <v>2025</v>
      </c>
      <c r="D1391" s="17" t="str">
        <f t="array" ref="D1391">_xlfn.SWITCH(E1391,"Bagor","35.18.14","Sukomoro",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91" s="16" t="s">
        <v>140</v>
      </c>
      <c r="F1391" s="17" t="s">
        <v>3173</v>
      </c>
      <c r="G1391" s="17" t="s">
        <v>3174</v>
      </c>
      <c r="H1391" s="16" t="s">
        <v>31</v>
      </c>
      <c r="I1391" s="16">
        <v>9</v>
      </c>
      <c r="J1391" s="16">
        <v>7</v>
      </c>
      <c r="K1391" s="16">
        <v>16</v>
      </c>
      <c r="L1391" s="189">
        <v>4000000</v>
      </c>
      <c r="M1391" s="17" t="s">
        <v>2264</v>
      </c>
      <c r="N1391" s="16">
        <v>5000</v>
      </c>
      <c r="O1391" s="10" t="s">
        <v>3084</v>
      </c>
      <c r="P1391" s="192">
        <v>60000000</v>
      </c>
      <c r="Q1391" s="10"/>
      <c r="R1391" s="10"/>
      <c r="S1391" s="10"/>
      <c r="T1391" s="10"/>
      <c r="U1391" s="10"/>
      <c r="V1391" s="10"/>
      <c r="W1391" s="10"/>
      <c r="X1391" s="10"/>
      <c r="Y1391" s="10"/>
      <c r="Z1391" s="10"/>
      <c r="AA1391" s="10"/>
      <c r="AB1391" s="10"/>
      <c r="AC1391" s="10"/>
      <c r="AD1391" s="1"/>
      <c r="AE1391" s="1"/>
      <c r="AF1391" s="1"/>
    </row>
    <row r="1392" spans="1:32" s="194" customFormat="1" ht="20.5" x14ac:dyDescent="0.25">
      <c r="A1392" s="17" t="s">
        <v>3921</v>
      </c>
      <c r="B1392" s="17" t="s">
        <v>45</v>
      </c>
      <c r="C1392" s="17">
        <v>2025</v>
      </c>
      <c r="D1392" s="17" t="str">
        <f t="array" ref="D1392">_xlfn.SWITCH(E1392,"Jatikalen","35.18.20","Kertosono", "35.18.08","Lengkong","35.18.19","Loceret","35.18.04","Tanjunganom","35.18.11","Wilangan","35.18.15")</f>
        <v>35.18.04</v>
      </c>
      <c r="E1392" s="16" t="s">
        <v>41</v>
      </c>
      <c r="F1392" s="17" t="s">
        <v>360</v>
      </c>
      <c r="G1392" s="17" t="s">
        <v>3175</v>
      </c>
      <c r="H1392" s="16" t="s">
        <v>31</v>
      </c>
      <c r="I1392" s="16">
        <v>4</v>
      </c>
      <c r="J1392" s="16">
        <v>1</v>
      </c>
      <c r="K1392" s="16">
        <v>5</v>
      </c>
      <c r="L1392" s="189">
        <v>5000000</v>
      </c>
      <c r="M1392" s="17" t="s">
        <v>3176</v>
      </c>
      <c r="N1392" s="16">
        <v>440</v>
      </c>
      <c r="O1392" s="10" t="s">
        <v>3033</v>
      </c>
      <c r="P1392" s="192">
        <v>8000000</v>
      </c>
      <c r="Q1392" s="96" t="s">
        <v>3177</v>
      </c>
      <c r="R1392" s="10">
        <v>12</v>
      </c>
      <c r="S1392" s="10" t="s">
        <v>3033</v>
      </c>
      <c r="T1392" s="193">
        <v>875000</v>
      </c>
      <c r="U1392" s="10" t="s">
        <v>22</v>
      </c>
      <c r="V1392" s="12"/>
      <c r="W1392" s="12"/>
      <c r="X1392" s="12"/>
      <c r="Y1392" s="12"/>
      <c r="Z1392" s="12"/>
      <c r="AA1392" s="12"/>
      <c r="AB1392" s="12"/>
      <c r="AC1392" s="12"/>
      <c r="AD1392" s="3"/>
      <c r="AE1392" s="3"/>
      <c r="AF1392" s="3"/>
    </row>
    <row r="1393" spans="1:32" s="191" customFormat="1" ht="20.5" x14ac:dyDescent="0.25">
      <c r="A1393" s="17" t="s">
        <v>3921</v>
      </c>
      <c r="B1393" s="17" t="s">
        <v>45</v>
      </c>
      <c r="C1393" s="17">
        <v>2025</v>
      </c>
      <c r="D1393" s="17" t="str">
        <f t="array" ref="D1393">_xlfn.SWITCH(E1393,"Bagor","35.18.14","Sukomoro",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93" s="16" t="s">
        <v>162</v>
      </c>
      <c r="F1393" s="17" t="s">
        <v>3178</v>
      </c>
      <c r="G1393" s="17" t="s">
        <v>3179</v>
      </c>
      <c r="H1393" s="16" t="s">
        <v>31</v>
      </c>
      <c r="I1393" s="16">
        <v>8</v>
      </c>
      <c r="J1393" s="16">
        <v>0</v>
      </c>
      <c r="K1393" s="16">
        <v>8</v>
      </c>
      <c r="L1393" s="189">
        <v>500000</v>
      </c>
      <c r="M1393" s="17" t="s">
        <v>2520</v>
      </c>
      <c r="N1393" s="16">
        <v>1</v>
      </c>
      <c r="O1393" s="10" t="s">
        <v>962</v>
      </c>
      <c r="P1393" s="192">
        <v>17000000</v>
      </c>
      <c r="Q1393" s="93" t="s">
        <v>3180</v>
      </c>
      <c r="R1393" s="10">
        <v>1.2</v>
      </c>
      <c r="S1393" s="10" t="s">
        <v>962</v>
      </c>
      <c r="T1393" s="193">
        <v>16000000</v>
      </c>
      <c r="U1393" s="10" t="s">
        <v>22</v>
      </c>
      <c r="V1393" s="146"/>
      <c r="W1393" s="146"/>
      <c r="X1393" s="146"/>
      <c r="Y1393" s="146"/>
      <c r="Z1393" s="146"/>
      <c r="AA1393" s="146"/>
      <c r="AB1393" s="146"/>
      <c r="AC1393" s="146"/>
      <c r="AD1393" s="1"/>
      <c r="AE1393" s="1"/>
      <c r="AF1393" s="1"/>
    </row>
    <row r="1394" spans="1:32" s="199" customFormat="1" x14ac:dyDescent="0.35">
      <c r="A1394" s="17" t="s">
        <v>3921</v>
      </c>
      <c r="B1394" s="17" t="s">
        <v>45</v>
      </c>
      <c r="C1394" s="17">
        <v>2025</v>
      </c>
      <c r="D1394" s="17" t="str">
        <f t="array" ref="D1394">_xlfn.SWITCH(E1394,"Bagor","35.18.14","Sukomoro",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94" s="10" t="s">
        <v>157</v>
      </c>
      <c r="F1394" s="17" t="s">
        <v>3181</v>
      </c>
      <c r="G1394" s="17" t="s">
        <v>3182</v>
      </c>
      <c r="H1394" s="16" t="s">
        <v>31</v>
      </c>
      <c r="I1394" s="10">
        <v>5</v>
      </c>
      <c r="J1394" s="10">
        <v>15</v>
      </c>
      <c r="K1394" s="16">
        <v>20</v>
      </c>
      <c r="L1394" s="13">
        <v>100000000</v>
      </c>
      <c r="M1394" s="17" t="s">
        <v>3183</v>
      </c>
      <c r="N1394" s="14">
        <v>1000000</v>
      </c>
      <c r="O1394" s="195"/>
      <c r="P1394" s="13">
        <f>N1394*250</f>
        <v>250000000</v>
      </c>
      <c r="Q1394" s="196" t="s">
        <v>34</v>
      </c>
      <c r="R1394" s="197"/>
      <c r="S1394" s="196"/>
      <c r="T1394" s="198"/>
      <c r="U1394" s="196"/>
      <c r="V1394" s="17"/>
      <c r="W1394" s="17"/>
      <c r="X1394" s="17"/>
      <c r="Y1394" s="184" t="s">
        <v>3005</v>
      </c>
      <c r="Z1394" s="196"/>
      <c r="AA1394" s="196"/>
      <c r="AB1394" s="196"/>
      <c r="AC1394" s="184" t="s">
        <v>3184</v>
      </c>
      <c r="AF1394" s="200"/>
    </row>
    <row r="1395" spans="1:32" s="4" customFormat="1" ht="20" x14ac:dyDescent="0.2">
      <c r="A1395" s="17" t="s">
        <v>3921</v>
      </c>
      <c r="B1395" s="17" t="s">
        <v>45</v>
      </c>
      <c r="C1395" s="17">
        <v>2025</v>
      </c>
      <c r="D1395" s="17" t="str">
        <f t="array" ref="D1395">_xlfn.SWITCH(E1395,"Jatikalen","35.18.20","Kertosono", "35.18.08","Lengkong","35.18.19","Loceret","35.18.04","Tanjunganom","35.18.11","Wilangan","35.18.15")</f>
        <v>35.18.04</v>
      </c>
      <c r="E1395" s="16" t="s">
        <v>41</v>
      </c>
      <c r="F1395" s="17" t="s">
        <v>360</v>
      </c>
      <c r="G1395" s="17" t="s">
        <v>3175</v>
      </c>
      <c r="H1395" s="16" t="s">
        <v>31</v>
      </c>
      <c r="I1395" s="16">
        <v>4</v>
      </c>
      <c r="J1395" s="16">
        <v>1</v>
      </c>
      <c r="K1395" s="16">
        <v>5</v>
      </c>
      <c r="L1395" s="189">
        <v>5000000</v>
      </c>
      <c r="M1395" s="17" t="s">
        <v>3176</v>
      </c>
      <c r="N1395" s="16">
        <v>440</v>
      </c>
      <c r="O1395" s="195" t="s">
        <v>3033</v>
      </c>
      <c r="P1395" s="192">
        <v>8000000</v>
      </c>
      <c r="Q1395" s="96" t="s">
        <v>3177</v>
      </c>
      <c r="R1395" s="195">
        <v>12</v>
      </c>
      <c r="S1395" s="195" t="s">
        <v>3033</v>
      </c>
      <c r="T1395" s="201">
        <v>875000</v>
      </c>
      <c r="U1395" s="195" t="s">
        <v>22</v>
      </c>
      <c r="V1395" s="202"/>
      <c r="W1395" s="202"/>
      <c r="X1395" s="195"/>
      <c r="Y1395" s="195"/>
      <c r="Z1395" s="202"/>
      <c r="AA1395" s="202"/>
      <c r="AB1395" s="202"/>
      <c r="AC1395" s="202"/>
      <c r="AF1395" s="203"/>
    </row>
    <row r="1396" spans="1:32" s="4" customFormat="1" ht="20" x14ac:dyDescent="0.2">
      <c r="A1396" s="17" t="s">
        <v>3921</v>
      </c>
      <c r="B1396" s="17" t="s">
        <v>45</v>
      </c>
      <c r="C1396" s="17">
        <v>2025</v>
      </c>
      <c r="D1396" s="17" t="str">
        <f t="array" ref="D1396">_xlfn.SWITCH(E1396,"Bagor","35.18.14","Sukomoro",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96" s="16" t="s">
        <v>162</v>
      </c>
      <c r="F1396" s="17" t="s">
        <v>3178</v>
      </c>
      <c r="G1396" s="17" t="s">
        <v>3179</v>
      </c>
      <c r="H1396" s="16" t="s">
        <v>31</v>
      </c>
      <c r="I1396" s="16">
        <v>8</v>
      </c>
      <c r="J1396" s="16">
        <v>0</v>
      </c>
      <c r="K1396" s="16">
        <v>8</v>
      </c>
      <c r="L1396" s="189">
        <v>500000</v>
      </c>
      <c r="M1396" s="17" t="s">
        <v>2520</v>
      </c>
      <c r="N1396" s="16">
        <v>1</v>
      </c>
      <c r="O1396" s="195" t="s">
        <v>962</v>
      </c>
      <c r="P1396" s="192">
        <v>17000000</v>
      </c>
      <c r="Q1396" s="96" t="s">
        <v>3180</v>
      </c>
      <c r="R1396" s="195">
        <v>1.2</v>
      </c>
      <c r="S1396" s="195" t="s">
        <v>962</v>
      </c>
      <c r="T1396" s="201">
        <v>16000000</v>
      </c>
      <c r="U1396" s="195" t="s">
        <v>22</v>
      </c>
      <c r="V1396" s="202"/>
      <c r="W1396" s="202"/>
      <c r="X1396" s="195"/>
      <c r="Y1396" s="195"/>
      <c r="Z1396" s="202"/>
      <c r="AA1396" s="202"/>
      <c r="AB1396" s="202"/>
      <c r="AC1396" s="202"/>
      <c r="AF1396" s="203"/>
    </row>
    <row r="1397" spans="1:32" s="204" customFormat="1" ht="50" x14ac:dyDescent="0.25">
      <c r="A1397" s="17" t="s">
        <v>3921</v>
      </c>
      <c r="B1397" s="17" t="s">
        <v>45</v>
      </c>
      <c r="C1397" s="17">
        <v>2025</v>
      </c>
      <c r="D1397" s="17" t="str">
        <f t="array" ref="D1397">_xlfn.SWITCH(E1397,"Bagor","35.18.14","Sukomoro",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397" s="16" t="s">
        <v>71</v>
      </c>
      <c r="F1397" s="17" t="s">
        <v>3185</v>
      </c>
      <c r="G1397" s="17" t="s">
        <v>3186</v>
      </c>
      <c r="H1397" s="16" t="s">
        <v>31</v>
      </c>
      <c r="I1397" s="16">
        <v>1</v>
      </c>
      <c r="J1397" s="16">
        <v>3</v>
      </c>
      <c r="K1397" s="16">
        <v>4</v>
      </c>
      <c r="L1397" s="18">
        <v>1000000</v>
      </c>
      <c r="M1397" s="17" t="s">
        <v>3187</v>
      </c>
      <c r="N1397" s="30">
        <v>100</v>
      </c>
      <c r="O1397" s="16" t="s">
        <v>422</v>
      </c>
      <c r="P1397" s="18">
        <v>9380000</v>
      </c>
      <c r="Q1397" s="20" t="s">
        <v>3188</v>
      </c>
      <c r="R1397" s="182">
        <v>272</v>
      </c>
      <c r="S1397" s="20" t="s">
        <v>422</v>
      </c>
      <c r="T1397" s="182">
        <v>5009000</v>
      </c>
      <c r="U1397" s="10" t="s">
        <v>22</v>
      </c>
      <c r="V1397" s="20">
        <v>8</v>
      </c>
      <c r="W1397" s="20" t="s">
        <v>3189</v>
      </c>
      <c r="X1397" s="20">
        <v>17000</v>
      </c>
      <c r="Y1397" s="21" t="s">
        <v>3190</v>
      </c>
      <c r="Z1397" s="21" t="s">
        <v>3191</v>
      </c>
      <c r="AA1397" s="21"/>
      <c r="AB1397" s="21"/>
      <c r="AC1397" s="21" t="s">
        <v>3192</v>
      </c>
      <c r="AD1397" s="3"/>
      <c r="AE1397" s="1"/>
      <c r="AF1397" s="2"/>
    </row>
    <row r="1398" spans="1:32" s="204" customFormat="1" ht="40" x14ac:dyDescent="0.25">
      <c r="A1398" s="17" t="s">
        <v>3921</v>
      </c>
      <c r="B1398" s="17" t="s">
        <v>45</v>
      </c>
      <c r="C1398" s="17">
        <v>2025</v>
      </c>
      <c r="D1398" s="17" t="str">
        <f t="array" ref="D1398">_xlfn.SWITCH(E1398,"Jatikalen","35.18.20","Kertosono", "35.18.08","Lengkong","35.18.19","Loceret","35.18.04","Tanjunganom","35.18.11","Wilangan","35.18.15")</f>
        <v>35.18.08</v>
      </c>
      <c r="E1398" s="16" t="s">
        <v>128</v>
      </c>
      <c r="F1398" s="17" t="s">
        <v>3193</v>
      </c>
      <c r="G1398" s="17" t="s">
        <v>3194</v>
      </c>
      <c r="H1398" s="16" t="s">
        <v>31</v>
      </c>
      <c r="I1398" s="16">
        <v>1</v>
      </c>
      <c r="J1398" s="16">
        <v>1</v>
      </c>
      <c r="K1398" s="16">
        <v>2</v>
      </c>
      <c r="L1398" s="18">
        <v>2000000</v>
      </c>
      <c r="M1398" s="17" t="s">
        <v>3195</v>
      </c>
      <c r="N1398" s="30">
        <v>27</v>
      </c>
      <c r="O1398" s="16" t="s">
        <v>422</v>
      </c>
      <c r="P1398" s="182">
        <v>540000</v>
      </c>
      <c r="Q1398" s="20" t="s">
        <v>3196</v>
      </c>
      <c r="R1398" s="182">
        <v>51</v>
      </c>
      <c r="S1398" s="20" t="s">
        <v>422</v>
      </c>
      <c r="T1398" s="182">
        <v>1596000</v>
      </c>
      <c r="U1398" s="10" t="s">
        <v>22</v>
      </c>
      <c r="V1398" s="20">
        <v>5</v>
      </c>
      <c r="W1398" s="20" t="s">
        <v>3189</v>
      </c>
      <c r="X1398" s="20"/>
      <c r="Y1398" s="21"/>
      <c r="Z1398" s="21"/>
      <c r="AA1398" s="21"/>
      <c r="AB1398" s="21"/>
      <c r="AC1398" s="21" t="s">
        <v>3197</v>
      </c>
      <c r="AD1398" s="3"/>
      <c r="AE1398" s="1"/>
      <c r="AF1398" s="2"/>
    </row>
    <row r="1399" spans="1:32" s="204" customFormat="1" ht="30" x14ac:dyDescent="0.25">
      <c r="A1399" s="17" t="s">
        <v>3921</v>
      </c>
      <c r="B1399" s="17" t="s">
        <v>45</v>
      </c>
      <c r="C1399" s="17">
        <v>2025</v>
      </c>
      <c r="D1399" s="17" t="str">
        <f t="array" ref="D1399">_xlfn.SWITCH(E1399,"Bagor","35.18.14","Sukomoro",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99" s="16" t="s">
        <v>45</v>
      </c>
      <c r="F1399" s="17" t="s">
        <v>3198</v>
      </c>
      <c r="G1399" s="17" t="s">
        <v>3199</v>
      </c>
      <c r="H1399" s="16" t="s">
        <v>31</v>
      </c>
      <c r="I1399" s="16">
        <v>0</v>
      </c>
      <c r="J1399" s="16">
        <v>2</v>
      </c>
      <c r="K1399" s="16">
        <v>2</v>
      </c>
      <c r="L1399" s="18">
        <v>1000000</v>
      </c>
      <c r="M1399" s="17" t="s">
        <v>3200</v>
      </c>
      <c r="N1399" s="30">
        <v>18</v>
      </c>
      <c r="O1399" s="16" t="s">
        <v>422</v>
      </c>
      <c r="P1399" s="182">
        <v>2062500</v>
      </c>
      <c r="Q1399" s="20" t="s">
        <v>3201</v>
      </c>
      <c r="R1399" s="182">
        <v>41</v>
      </c>
      <c r="S1399" s="20" t="s">
        <v>422</v>
      </c>
      <c r="T1399" s="182">
        <v>1065000</v>
      </c>
      <c r="U1399" s="10" t="s">
        <v>22</v>
      </c>
      <c r="V1399" s="20">
        <v>5</v>
      </c>
      <c r="W1399" s="20" t="s">
        <v>3189</v>
      </c>
      <c r="X1399" s="20">
        <v>20000</v>
      </c>
      <c r="Y1399" s="21" t="s">
        <v>3005</v>
      </c>
      <c r="Z1399" s="21" t="s">
        <v>3005</v>
      </c>
      <c r="AA1399" s="21"/>
      <c r="AB1399" s="21"/>
      <c r="AC1399" s="21" t="s">
        <v>3202</v>
      </c>
      <c r="AD1399" s="3"/>
      <c r="AE1399" s="1"/>
      <c r="AF1399" s="2"/>
    </row>
    <row r="1400" spans="1:32" s="205" customFormat="1" ht="60" x14ac:dyDescent="0.35">
      <c r="A1400" s="17" t="s">
        <v>3921</v>
      </c>
      <c r="B1400" s="17" t="s">
        <v>45</v>
      </c>
      <c r="C1400" s="17">
        <v>2025</v>
      </c>
      <c r="D1400" s="17" t="str">
        <f t="array" ref="D1400">_xlfn.SWITCH(E1400,"Bagor","35.18.14","Sukomoro",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400" s="16" t="s">
        <v>103</v>
      </c>
      <c r="F1400" s="17" t="s">
        <v>3203</v>
      </c>
      <c r="G1400" s="17" t="s">
        <v>3204</v>
      </c>
      <c r="H1400" s="16" t="s">
        <v>991</v>
      </c>
      <c r="I1400" s="16">
        <v>5</v>
      </c>
      <c r="J1400" s="16">
        <v>1</v>
      </c>
      <c r="K1400" s="16">
        <v>6</v>
      </c>
      <c r="L1400" s="18">
        <v>3000000000</v>
      </c>
      <c r="M1400" s="17" t="s">
        <v>3205</v>
      </c>
      <c r="N1400" s="18" t="s">
        <v>3206</v>
      </c>
      <c r="O1400" s="16" t="s">
        <v>3207</v>
      </c>
      <c r="P1400" s="30">
        <v>45000</v>
      </c>
      <c r="Q1400" s="10" t="s">
        <v>504</v>
      </c>
      <c r="R1400" s="44">
        <v>50</v>
      </c>
      <c r="S1400" s="16" t="s">
        <v>83</v>
      </c>
      <c r="T1400" s="30">
        <v>45000</v>
      </c>
      <c r="U1400" s="16" t="s">
        <v>3208</v>
      </c>
      <c r="V1400" s="16">
        <v>1000</v>
      </c>
      <c r="W1400" s="16" t="s">
        <v>3209</v>
      </c>
      <c r="X1400" s="16">
        <v>700</v>
      </c>
      <c r="Y1400" s="21" t="s">
        <v>3005</v>
      </c>
      <c r="Z1400" s="21" t="s">
        <v>3005</v>
      </c>
      <c r="AA1400" s="21" t="s">
        <v>3005</v>
      </c>
      <c r="AB1400" s="16"/>
      <c r="AC1400" s="16"/>
      <c r="AD1400" s="43"/>
      <c r="AE1400" s="60"/>
      <c r="AF1400" s="59"/>
    </row>
    <row r="1401" spans="1:32" s="60" customFormat="1" ht="70" x14ac:dyDescent="0.35">
      <c r="A1401" s="17" t="s">
        <v>3921</v>
      </c>
      <c r="B1401" s="17" t="s">
        <v>45</v>
      </c>
      <c r="C1401" s="17">
        <v>2025</v>
      </c>
      <c r="D1401" s="17" t="str">
        <f t="array" ref="D1401">_xlfn.SWITCH(E1401,"Bagor","35.18.14","Sukomoro",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01" s="16" t="s">
        <v>45</v>
      </c>
      <c r="F1401" s="17" t="s">
        <v>3210</v>
      </c>
      <c r="G1401" s="17" t="s">
        <v>3211</v>
      </c>
      <c r="H1401" s="16" t="s">
        <v>81</v>
      </c>
      <c r="I1401" s="16">
        <v>5</v>
      </c>
      <c r="J1401" s="16">
        <v>7</v>
      </c>
      <c r="K1401" s="16">
        <v>12</v>
      </c>
      <c r="L1401" s="18">
        <v>400000000</v>
      </c>
      <c r="M1401" s="17" t="s">
        <v>3212</v>
      </c>
      <c r="N1401" s="18"/>
      <c r="O1401" s="16"/>
      <c r="P1401" s="30"/>
      <c r="Q1401" s="17"/>
      <c r="R1401" s="44"/>
      <c r="S1401" s="16"/>
      <c r="T1401" s="30"/>
      <c r="U1401" s="16"/>
      <c r="V1401" s="16"/>
      <c r="W1401" s="16"/>
      <c r="X1401" s="16"/>
      <c r="Y1401" s="16"/>
      <c r="Z1401" s="16"/>
      <c r="AA1401" s="16"/>
      <c r="AB1401" s="16"/>
      <c r="AC1401" s="16"/>
      <c r="AD1401" s="43"/>
      <c r="AF1401" s="59"/>
    </row>
    <row r="1402" spans="1:32" s="206" customFormat="1" ht="50" x14ac:dyDescent="0.2">
      <c r="A1402" s="17" t="s">
        <v>3921</v>
      </c>
      <c r="B1402" s="17" t="s">
        <v>45</v>
      </c>
      <c r="C1402" s="17">
        <v>2025</v>
      </c>
      <c r="D1402" s="17" t="str">
        <f t="array" ref="D1402">_xlfn.SWITCH(E1402,"Jatikalen","35.18.20","Kertosono", "35.18.08","Lengkong","35.18.19","Loceret","35.18.04","Tanjunganom","35.18.11","Wilangan","35.18.15")</f>
        <v>35.18.08</v>
      </c>
      <c r="E1402" s="16" t="s">
        <v>128</v>
      </c>
      <c r="F1402" s="17" t="s">
        <v>3213</v>
      </c>
      <c r="G1402" s="17" t="s">
        <v>3214</v>
      </c>
      <c r="H1402" s="16" t="s">
        <v>991</v>
      </c>
      <c r="I1402" s="16">
        <v>7</v>
      </c>
      <c r="J1402" s="16">
        <v>14</v>
      </c>
      <c r="K1402" s="16">
        <v>21</v>
      </c>
      <c r="L1402" s="18">
        <v>1100000000</v>
      </c>
      <c r="M1402" s="17" t="s">
        <v>3215</v>
      </c>
      <c r="N1402" s="95"/>
      <c r="O1402" s="94"/>
      <c r="P1402" s="97"/>
      <c r="Q1402" s="96"/>
      <c r="R1402" s="98"/>
      <c r="S1402" s="94"/>
      <c r="T1402" s="97"/>
      <c r="U1402" s="94"/>
      <c r="V1402" s="94"/>
      <c r="W1402" s="94"/>
      <c r="X1402" s="94"/>
      <c r="Y1402" s="94"/>
      <c r="Z1402" s="94"/>
      <c r="AA1402" s="94"/>
      <c r="AB1402" s="94"/>
      <c r="AC1402" s="94"/>
      <c r="AD1402" s="117"/>
      <c r="AF1402" s="207"/>
    </row>
    <row r="1403" spans="1:32" s="43" customFormat="1" ht="50" x14ac:dyDescent="0.35">
      <c r="A1403" s="17" t="s">
        <v>3921</v>
      </c>
      <c r="B1403" s="17" t="s">
        <v>45</v>
      </c>
      <c r="C1403" s="17">
        <v>2025</v>
      </c>
      <c r="D1403" s="17" t="str">
        <f t="array" ref="D1403">_xlfn.SWITCH(E1403,"Bagor","35.18.14","Sukomoro",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403" s="16" t="s">
        <v>124</v>
      </c>
      <c r="F1403" s="17" t="s">
        <v>3216</v>
      </c>
      <c r="G1403" s="17" t="s">
        <v>3217</v>
      </c>
      <c r="H1403" s="16" t="s">
        <v>991</v>
      </c>
      <c r="I1403" s="16">
        <v>15</v>
      </c>
      <c r="J1403" s="16">
        <v>28</v>
      </c>
      <c r="K1403" s="16">
        <v>43</v>
      </c>
      <c r="L1403" s="189">
        <v>6074181800</v>
      </c>
      <c r="M1403" s="17" t="s">
        <v>3218</v>
      </c>
      <c r="N1403" s="182">
        <v>748800000</v>
      </c>
      <c r="O1403" s="16" t="s">
        <v>3219</v>
      </c>
      <c r="P1403" s="182"/>
      <c r="Q1403" s="16" t="s">
        <v>3220</v>
      </c>
      <c r="R1403" s="53">
        <v>710</v>
      </c>
      <c r="S1403" s="16" t="s">
        <v>3221</v>
      </c>
      <c r="T1403" s="182"/>
      <c r="U1403" s="16"/>
      <c r="V1403" s="16"/>
      <c r="W1403" s="16"/>
      <c r="X1403" s="16"/>
      <c r="Y1403" s="16"/>
      <c r="Z1403" s="16"/>
      <c r="AA1403" s="16"/>
      <c r="AB1403" s="16"/>
      <c r="AC1403" s="16"/>
      <c r="AF1403" s="208"/>
    </row>
    <row r="1404" spans="1:32" s="60" customFormat="1" ht="50" x14ac:dyDescent="0.35">
      <c r="A1404" s="17" t="s">
        <v>3921</v>
      </c>
      <c r="B1404" s="17" t="s">
        <v>45</v>
      </c>
      <c r="C1404" s="17">
        <v>2025</v>
      </c>
      <c r="D1404" s="17" t="str">
        <f t="array" ref="D1404">_xlfn.SWITCH(E1404,"Bagor","35.18.14","Sukomoro",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404" s="16" t="s">
        <v>157</v>
      </c>
      <c r="F1404" s="17" t="s">
        <v>3222</v>
      </c>
      <c r="G1404" s="17" t="s">
        <v>3223</v>
      </c>
      <c r="H1404" s="16" t="s">
        <v>3224</v>
      </c>
      <c r="I1404" s="16">
        <v>2</v>
      </c>
      <c r="J1404" s="16">
        <v>25</v>
      </c>
      <c r="K1404" s="16">
        <v>27</v>
      </c>
      <c r="L1404" s="18">
        <v>220000000</v>
      </c>
      <c r="M1404" s="17" t="s">
        <v>3225</v>
      </c>
      <c r="N1404" s="182">
        <v>2744800</v>
      </c>
      <c r="O1404" s="16" t="s">
        <v>3226</v>
      </c>
      <c r="P1404" s="182">
        <v>572277800</v>
      </c>
      <c r="Q1404" s="17" t="s">
        <v>3227</v>
      </c>
      <c r="R1404" s="44" t="s">
        <v>3228</v>
      </c>
      <c r="S1404" s="16" t="s">
        <v>83</v>
      </c>
      <c r="T1404" s="30">
        <v>175000000</v>
      </c>
      <c r="U1404" s="16" t="s">
        <v>3229</v>
      </c>
      <c r="V1404" s="16">
        <v>1300</v>
      </c>
      <c r="W1404" s="16" t="s">
        <v>3230</v>
      </c>
      <c r="X1404" s="21">
        <v>20000000</v>
      </c>
      <c r="Y1404" s="21" t="s">
        <v>3005</v>
      </c>
      <c r="Z1404" s="21" t="s">
        <v>3005</v>
      </c>
      <c r="AA1404" s="16"/>
      <c r="AB1404" s="16"/>
      <c r="AC1404" s="16"/>
      <c r="AD1404" s="43"/>
      <c r="AF1404" s="59"/>
    </row>
    <row r="1405" spans="1:32" s="60" customFormat="1" ht="40" x14ac:dyDescent="0.35">
      <c r="A1405" s="17" t="s">
        <v>3921</v>
      </c>
      <c r="B1405" s="17" t="s">
        <v>45</v>
      </c>
      <c r="C1405" s="17">
        <v>2025</v>
      </c>
      <c r="D1405" s="17" t="str">
        <f t="array" ref="D1405">_xlfn.SWITCH(E1405,"Bagor","35.18.14","Sukomoro",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05" s="16" t="s">
        <v>162</v>
      </c>
      <c r="F1405" s="17" t="s">
        <v>3231</v>
      </c>
      <c r="G1405" s="17" t="s">
        <v>3232</v>
      </c>
      <c r="H1405" s="16" t="s">
        <v>3224</v>
      </c>
      <c r="I1405" s="16">
        <v>10</v>
      </c>
      <c r="J1405" s="16"/>
      <c r="K1405" s="16">
        <v>10</v>
      </c>
      <c r="L1405" s="18">
        <v>130000000</v>
      </c>
      <c r="M1405" s="17" t="s">
        <v>3233</v>
      </c>
      <c r="N1405" s="182">
        <v>5500000</v>
      </c>
      <c r="O1405" s="16" t="s">
        <v>3226</v>
      </c>
      <c r="P1405" s="30">
        <f>N1405*170</f>
        <v>935000000</v>
      </c>
      <c r="Q1405" s="17" t="s">
        <v>34</v>
      </c>
      <c r="R1405" s="44">
        <v>100000000</v>
      </c>
      <c r="S1405" s="16" t="s">
        <v>454</v>
      </c>
      <c r="T1405" s="30">
        <v>100000000</v>
      </c>
      <c r="U1405" s="16" t="s">
        <v>3229</v>
      </c>
      <c r="V1405" s="16">
        <v>72000</v>
      </c>
      <c r="W1405" s="16" t="s">
        <v>3230</v>
      </c>
      <c r="X1405" s="16">
        <v>600000</v>
      </c>
      <c r="Y1405" s="21" t="s">
        <v>3005</v>
      </c>
      <c r="Z1405" s="21" t="s">
        <v>3005</v>
      </c>
      <c r="AA1405" s="16"/>
      <c r="AB1405" s="16"/>
      <c r="AC1405" s="16"/>
      <c r="AD1405" s="43"/>
      <c r="AF1405" s="59"/>
    </row>
    <row r="1406" spans="1:32" s="43" customFormat="1" ht="40" x14ac:dyDescent="0.35">
      <c r="A1406" s="17" t="s">
        <v>3921</v>
      </c>
      <c r="B1406" s="17" t="s">
        <v>45</v>
      </c>
      <c r="C1406" s="17">
        <v>2025</v>
      </c>
      <c r="D1406" s="17" t="str">
        <f t="array" ref="D1406">_xlfn.SWITCH(E1406,"Bagor","35.18.14","Sukomoro",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406" s="16" t="s">
        <v>124</v>
      </c>
      <c r="F1406" s="17" t="s">
        <v>3234</v>
      </c>
      <c r="G1406" s="17" t="s">
        <v>3235</v>
      </c>
      <c r="H1406" s="16" t="s">
        <v>991</v>
      </c>
      <c r="I1406" s="16">
        <v>3</v>
      </c>
      <c r="J1406" s="16">
        <v>7</v>
      </c>
      <c r="K1406" s="16">
        <v>10</v>
      </c>
      <c r="L1406" s="18">
        <v>550000000</v>
      </c>
      <c r="M1406" s="17" t="s">
        <v>3236</v>
      </c>
      <c r="N1406" s="182">
        <v>1200000</v>
      </c>
      <c r="O1406" s="16" t="s">
        <v>3237</v>
      </c>
      <c r="P1406" s="182">
        <f>N1406*1000</f>
        <v>1200000000</v>
      </c>
      <c r="Q1406" s="16" t="s">
        <v>3238</v>
      </c>
      <c r="R1406" s="53">
        <v>20</v>
      </c>
      <c r="S1406" s="16" t="s">
        <v>962</v>
      </c>
      <c r="T1406" s="182">
        <v>130000000</v>
      </c>
      <c r="U1406" s="16" t="s">
        <v>3229</v>
      </c>
      <c r="V1406" s="16"/>
      <c r="W1406" s="16"/>
      <c r="X1406" s="16"/>
      <c r="Y1406" s="21" t="s">
        <v>3005</v>
      </c>
      <c r="Z1406" s="21" t="s">
        <v>3005</v>
      </c>
      <c r="AA1406" s="16"/>
      <c r="AB1406" s="16"/>
      <c r="AC1406" s="16"/>
      <c r="AF1406" s="208"/>
    </row>
    <row r="1407" spans="1:32" s="43" customFormat="1" ht="40" x14ac:dyDescent="0.35">
      <c r="A1407" s="17" t="s">
        <v>3921</v>
      </c>
      <c r="B1407" s="17" t="s">
        <v>45</v>
      </c>
      <c r="C1407" s="17">
        <v>2025</v>
      </c>
      <c r="D1407" s="17" t="str">
        <f t="array" ref="D1407">_xlfn.SWITCH(E1407,"Jatikalen","35.18.20","Kertosono", "35.18.08","Lengkong","35.18.19","Loceret","35.18.04","Tanjunganom","35.18.11","Wilangan","35.18.15")</f>
        <v>35.18.04</v>
      </c>
      <c r="E1407" s="16" t="s">
        <v>41</v>
      </c>
      <c r="F1407" s="17" t="s">
        <v>3239</v>
      </c>
      <c r="G1407" s="17" t="s">
        <v>3240</v>
      </c>
      <c r="H1407" s="16" t="s">
        <v>991</v>
      </c>
      <c r="I1407" s="16">
        <v>8</v>
      </c>
      <c r="J1407" s="16">
        <v>30</v>
      </c>
      <c r="K1407" s="16">
        <v>38</v>
      </c>
      <c r="L1407" s="18">
        <v>250000000</v>
      </c>
      <c r="M1407" s="17" t="s">
        <v>3241</v>
      </c>
      <c r="N1407" s="182">
        <v>7400000</v>
      </c>
      <c r="O1407" s="16" t="s">
        <v>3237</v>
      </c>
      <c r="P1407" s="182">
        <f>N1407*170</f>
        <v>1258000000</v>
      </c>
      <c r="Q1407" s="16" t="s">
        <v>3242</v>
      </c>
      <c r="R1407" s="53">
        <v>53800</v>
      </c>
      <c r="S1407" s="16" t="s">
        <v>3243</v>
      </c>
      <c r="T1407" s="182"/>
      <c r="U1407" s="16"/>
      <c r="V1407" s="16"/>
      <c r="W1407" s="16"/>
      <c r="X1407" s="16"/>
      <c r="Y1407" s="16"/>
      <c r="Z1407" s="16"/>
      <c r="AA1407" s="16"/>
      <c r="AB1407" s="16"/>
      <c r="AC1407" s="16"/>
      <c r="AF1407" s="208"/>
    </row>
    <row r="1408" spans="1:32" s="43" customFormat="1" ht="50" x14ac:dyDescent="0.35">
      <c r="A1408" s="17" t="s">
        <v>3921</v>
      </c>
      <c r="B1408" s="17" t="s">
        <v>45</v>
      </c>
      <c r="C1408" s="17">
        <v>2025</v>
      </c>
      <c r="D1408" s="17" t="str">
        <f t="array" ref="D1408">_xlfn.SWITCH(E1408,"Bagor","35.18.14","Sukomoro",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408" s="16" t="s">
        <v>103</v>
      </c>
      <c r="F1408" s="17" t="s">
        <v>3244</v>
      </c>
      <c r="G1408" s="17" t="s">
        <v>3245</v>
      </c>
      <c r="H1408" s="16" t="s">
        <v>991</v>
      </c>
      <c r="I1408" s="16">
        <v>11</v>
      </c>
      <c r="J1408" s="16">
        <v>26</v>
      </c>
      <c r="K1408" s="16">
        <v>37</v>
      </c>
      <c r="L1408" s="18">
        <v>3000000000</v>
      </c>
      <c r="M1408" s="17" t="s">
        <v>3246</v>
      </c>
      <c r="N1408" s="182">
        <v>8000000</v>
      </c>
      <c r="O1408" s="16" t="s">
        <v>3247</v>
      </c>
      <c r="P1408" s="182">
        <f>N1408*1000</f>
        <v>8000000000</v>
      </c>
      <c r="Q1408" s="16"/>
      <c r="R1408" s="53"/>
      <c r="S1408" s="16"/>
      <c r="T1408" s="182"/>
      <c r="U1408" s="16"/>
      <c r="V1408" s="16"/>
      <c r="W1408" s="16"/>
      <c r="X1408" s="16"/>
      <c r="Y1408" s="16"/>
      <c r="Z1408" s="16"/>
      <c r="AA1408" s="16"/>
      <c r="AB1408" s="16"/>
      <c r="AC1408" s="16"/>
      <c r="AF1408" s="208"/>
    </row>
    <row r="1409" spans="1:32" s="43" customFormat="1" ht="40" x14ac:dyDescent="0.35">
      <c r="A1409" s="17" t="s">
        <v>3921</v>
      </c>
      <c r="B1409" s="17" t="s">
        <v>45</v>
      </c>
      <c r="C1409" s="17">
        <v>2025</v>
      </c>
      <c r="D1409" s="17" t="str">
        <f t="array" ref="D1409">_xlfn.SWITCH(E1409,"Bagor","35.18.14","Sukomoro",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409" s="16" t="s">
        <v>71</v>
      </c>
      <c r="F1409" s="17" t="s">
        <v>3248</v>
      </c>
      <c r="G1409" s="17" t="s">
        <v>3249</v>
      </c>
      <c r="H1409" s="16" t="s">
        <v>3224</v>
      </c>
      <c r="I1409" s="16">
        <v>10</v>
      </c>
      <c r="J1409" s="16">
        <v>22</v>
      </c>
      <c r="K1409" s="16">
        <v>32</v>
      </c>
      <c r="L1409" s="18">
        <v>100000000</v>
      </c>
      <c r="M1409" s="17" t="s">
        <v>3241</v>
      </c>
      <c r="N1409" s="182"/>
      <c r="O1409" s="16"/>
      <c r="P1409" s="182"/>
      <c r="Q1409" s="16" t="s">
        <v>3250</v>
      </c>
      <c r="R1409" s="53">
        <v>1</v>
      </c>
      <c r="S1409" s="16" t="s">
        <v>3221</v>
      </c>
      <c r="T1409" s="182"/>
      <c r="U1409" s="16" t="s">
        <v>3229</v>
      </c>
      <c r="V1409" s="16" t="s">
        <v>3251</v>
      </c>
      <c r="W1409" s="16">
        <v>5500</v>
      </c>
      <c r="X1409" s="16" t="s">
        <v>3252</v>
      </c>
      <c r="Y1409" s="16"/>
      <c r="Z1409" s="16"/>
      <c r="AA1409" s="16"/>
      <c r="AB1409" s="16"/>
      <c r="AC1409" s="16"/>
      <c r="AF1409" s="208"/>
    </row>
    <row r="1410" spans="1:32" s="43" customFormat="1" ht="70" x14ac:dyDescent="0.35">
      <c r="A1410" s="17" t="s">
        <v>3921</v>
      </c>
      <c r="B1410" s="17" t="s">
        <v>45</v>
      </c>
      <c r="C1410" s="17">
        <v>2025</v>
      </c>
      <c r="D1410" s="17" t="str">
        <f t="array" ref="D1410">_xlfn.SWITCH(E1410,"Bagor","35.18.14","Sukomoro",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410" s="16" t="s">
        <v>3059</v>
      </c>
      <c r="F1410" s="17" t="s">
        <v>3253</v>
      </c>
      <c r="G1410" s="17" t="s">
        <v>3254</v>
      </c>
      <c r="H1410" s="16" t="s">
        <v>3224</v>
      </c>
      <c r="I1410" s="16">
        <v>17</v>
      </c>
      <c r="J1410" s="16">
        <v>61</v>
      </c>
      <c r="K1410" s="16">
        <v>78</v>
      </c>
      <c r="L1410" s="18">
        <v>700000000</v>
      </c>
      <c r="M1410" s="17" t="s">
        <v>3255</v>
      </c>
      <c r="N1410" s="182">
        <v>7173400</v>
      </c>
      <c r="O1410" s="16" t="s">
        <v>33</v>
      </c>
      <c r="P1410" s="182">
        <v>4110130000</v>
      </c>
      <c r="Q1410" s="16" t="s">
        <v>3242</v>
      </c>
      <c r="R1410" s="53">
        <v>348400</v>
      </c>
      <c r="S1410" s="16" t="s">
        <v>422</v>
      </c>
      <c r="T1410" s="182">
        <v>3252500000</v>
      </c>
      <c r="U1410" s="16" t="s">
        <v>3229</v>
      </c>
      <c r="V1410" s="16" t="s">
        <v>3251</v>
      </c>
      <c r="W1410" s="16">
        <v>1998</v>
      </c>
      <c r="X1410" s="16" t="s">
        <v>3252</v>
      </c>
      <c r="Y1410" s="21" t="s">
        <v>3005</v>
      </c>
      <c r="Z1410" s="21" t="s">
        <v>3005</v>
      </c>
      <c r="AA1410" s="16"/>
      <c r="AB1410" s="16"/>
      <c r="AC1410" s="16"/>
      <c r="AF1410" s="208"/>
    </row>
    <row r="1411" spans="1:32" s="43" customFormat="1" ht="40" x14ac:dyDescent="0.35">
      <c r="A1411" s="17" t="s">
        <v>3921</v>
      </c>
      <c r="B1411" s="17" t="s">
        <v>45</v>
      </c>
      <c r="C1411" s="17">
        <v>2025</v>
      </c>
      <c r="D1411" s="17" t="str">
        <f t="array" ref="D1411">_xlfn.SWITCH(E1411,"Bagor","35.18.14","Sukomoro",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11" s="16" t="s">
        <v>45</v>
      </c>
      <c r="F1411" s="17" t="s">
        <v>3256</v>
      </c>
      <c r="G1411" s="17" t="s">
        <v>3257</v>
      </c>
      <c r="H1411" s="16" t="s">
        <v>81</v>
      </c>
      <c r="I1411" s="16">
        <v>34</v>
      </c>
      <c r="J1411" s="16">
        <v>408</v>
      </c>
      <c r="K1411" s="16">
        <v>442</v>
      </c>
      <c r="L1411" s="18">
        <v>3986148437</v>
      </c>
      <c r="M1411" s="17" t="s">
        <v>3258</v>
      </c>
      <c r="N1411" s="182">
        <v>9360000</v>
      </c>
      <c r="O1411" s="16" t="s">
        <v>33</v>
      </c>
      <c r="P1411" s="182">
        <v>5444000000</v>
      </c>
      <c r="Q1411" s="16" t="s">
        <v>3259</v>
      </c>
      <c r="R1411" s="53">
        <v>171420</v>
      </c>
      <c r="S1411" s="16" t="s">
        <v>35</v>
      </c>
      <c r="T1411" s="182">
        <v>4416000000</v>
      </c>
      <c r="U1411" s="16" t="s">
        <v>3229</v>
      </c>
      <c r="V1411" s="16" t="s">
        <v>3251</v>
      </c>
      <c r="W1411" s="16">
        <v>98682</v>
      </c>
      <c r="X1411" s="16" t="s">
        <v>3260</v>
      </c>
      <c r="Y1411" s="21" t="s">
        <v>3005</v>
      </c>
      <c r="Z1411" s="16"/>
      <c r="AA1411" s="16"/>
      <c r="AB1411" s="16"/>
      <c r="AC1411" s="16"/>
      <c r="AF1411" s="208"/>
    </row>
    <row r="1412" spans="1:32" s="43" customFormat="1" ht="50" x14ac:dyDescent="0.35">
      <c r="A1412" s="17" t="s">
        <v>3921</v>
      </c>
      <c r="B1412" s="17" t="s">
        <v>45</v>
      </c>
      <c r="C1412" s="17">
        <v>2025</v>
      </c>
      <c r="D1412" s="17" t="str">
        <f t="array" ref="D1412">_xlfn.SWITCH(E1412,"Bagor","35.18.14","Sukomoro",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412" s="16" t="s">
        <v>29</v>
      </c>
      <c r="F1412" s="17" t="s">
        <v>3261</v>
      </c>
      <c r="G1412" s="17" t="s">
        <v>3262</v>
      </c>
      <c r="H1412" s="16" t="s">
        <v>3224</v>
      </c>
      <c r="I1412" s="16">
        <v>5</v>
      </c>
      <c r="J1412" s="16">
        <v>30</v>
      </c>
      <c r="K1412" s="16">
        <v>35</v>
      </c>
      <c r="L1412" s="18">
        <v>350000000</v>
      </c>
      <c r="M1412" s="17" t="s">
        <v>3263</v>
      </c>
      <c r="N1412" s="182">
        <v>4000000</v>
      </c>
      <c r="O1412" s="16" t="s">
        <v>33</v>
      </c>
      <c r="P1412" s="182">
        <f>N1412*170</f>
        <v>680000000</v>
      </c>
      <c r="Q1412" s="16" t="s">
        <v>3242</v>
      </c>
      <c r="R1412" s="53"/>
      <c r="S1412" s="16"/>
      <c r="T1412" s="182"/>
      <c r="U1412" s="16"/>
      <c r="V1412" s="16"/>
      <c r="W1412" s="16"/>
      <c r="X1412" s="16"/>
      <c r="Y1412" s="16"/>
      <c r="Z1412" s="16"/>
      <c r="AA1412" s="16"/>
      <c r="AB1412" s="16"/>
      <c r="AC1412" s="16"/>
      <c r="AF1412" s="208"/>
    </row>
    <row r="1413" spans="1:32" s="43" customFormat="1" ht="40" x14ac:dyDescent="0.35">
      <c r="A1413" s="17" t="s">
        <v>3921</v>
      </c>
      <c r="B1413" s="17" t="s">
        <v>45</v>
      </c>
      <c r="C1413" s="17">
        <v>2025</v>
      </c>
      <c r="D1413" s="17" t="str">
        <f t="array" ref="D1413">_xlfn.SWITCH(E1413,"Bagor","35.18.14","Sukomoro",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413" s="16" t="s">
        <v>29</v>
      </c>
      <c r="F1413" s="17" t="s">
        <v>3264</v>
      </c>
      <c r="G1413" s="17" t="s">
        <v>3265</v>
      </c>
      <c r="H1413" s="16" t="s">
        <v>3224</v>
      </c>
      <c r="I1413" s="16">
        <v>8</v>
      </c>
      <c r="J1413" s="16">
        <v>30</v>
      </c>
      <c r="K1413" s="16">
        <v>38</v>
      </c>
      <c r="L1413" s="18">
        <v>400000000</v>
      </c>
      <c r="M1413" s="17" t="s">
        <v>3266</v>
      </c>
      <c r="N1413" s="182">
        <v>3000000</v>
      </c>
      <c r="O1413" s="16" t="s">
        <v>1538</v>
      </c>
      <c r="P1413" s="182">
        <f>N1413*160</f>
        <v>480000000</v>
      </c>
      <c r="Q1413" s="16" t="s">
        <v>3242</v>
      </c>
      <c r="R1413" s="53"/>
      <c r="S1413" s="16"/>
      <c r="T1413" s="182"/>
      <c r="U1413" s="16"/>
      <c r="V1413" s="16" t="s">
        <v>3251</v>
      </c>
      <c r="W1413" s="16">
        <v>1133</v>
      </c>
      <c r="X1413" s="16" t="s">
        <v>3252</v>
      </c>
      <c r="Y1413" s="16"/>
      <c r="Z1413" s="16"/>
      <c r="AA1413" s="16"/>
      <c r="AB1413" s="16"/>
      <c r="AC1413" s="16"/>
      <c r="AF1413" s="208"/>
    </row>
    <row r="1414" spans="1:32" s="43" customFormat="1" ht="70" x14ac:dyDescent="0.35">
      <c r="A1414" s="17" t="s">
        <v>3921</v>
      </c>
      <c r="B1414" s="17" t="s">
        <v>45</v>
      </c>
      <c r="C1414" s="17">
        <v>2025</v>
      </c>
      <c r="D1414" s="17" t="str">
        <f t="array" ref="D1414">_xlfn.SWITCH(E1414,"Bagor","35.18.14","Sukomoro",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414" s="16" t="s">
        <v>157</v>
      </c>
      <c r="F1414" s="17" t="s">
        <v>3267</v>
      </c>
      <c r="G1414" s="17" t="s">
        <v>3268</v>
      </c>
      <c r="H1414" s="16" t="s">
        <v>991</v>
      </c>
      <c r="I1414" s="16">
        <v>6</v>
      </c>
      <c r="J1414" s="16">
        <v>4</v>
      </c>
      <c r="K1414" s="16">
        <v>10</v>
      </c>
      <c r="L1414" s="18">
        <v>2000000000</v>
      </c>
      <c r="M1414" s="17" t="s">
        <v>3269</v>
      </c>
      <c r="N1414" s="182">
        <v>35000</v>
      </c>
      <c r="O1414" s="16" t="s">
        <v>152</v>
      </c>
      <c r="P1414" s="182">
        <f>N1414*100000</f>
        <v>3500000000</v>
      </c>
      <c r="Q1414" s="16" t="s">
        <v>3270</v>
      </c>
      <c r="R1414" s="53">
        <v>840</v>
      </c>
      <c r="S1414" s="16" t="s">
        <v>1049</v>
      </c>
      <c r="T1414" s="182">
        <v>28640</v>
      </c>
      <c r="U1414" s="16" t="s">
        <v>3229</v>
      </c>
      <c r="V1414" s="16" t="s">
        <v>3062</v>
      </c>
      <c r="W1414" s="16">
        <v>370</v>
      </c>
      <c r="X1414" s="16" t="s">
        <v>3271</v>
      </c>
      <c r="Y1414" s="16"/>
      <c r="Z1414" s="16"/>
      <c r="AA1414" s="16"/>
      <c r="AB1414" s="16"/>
      <c r="AC1414" s="16"/>
      <c r="AF1414" s="208"/>
    </row>
    <row r="1415" spans="1:32" s="43" customFormat="1" ht="60" x14ac:dyDescent="0.35">
      <c r="A1415" s="17" t="s">
        <v>3921</v>
      </c>
      <c r="B1415" s="17" t="s">
        <v>45</v>
      </c>
      <c r="C1415" s="17">
        <v>2025</v>
      </c>
      <c r="D1415" s="17" t="str">
        <f t="array" ref="D1415">_xlfn.SWITCH(E1415,"Bagor","35.18.14","Sukomoro",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415" s="16" t="s">
        <v>140</v>
      </c>
      <c r="F1415" s="17" t="s">
        <v>3272</v>
      </c>
      <c r="G1415" s="17" t="s">
        <v>3273</v>
      </c>
      <c r="H1415" s="16" t="s">
        <v>991</v>
      </c>
      <c r="I1415" s="16">
        <v>31</v>
      </c>
      <c r="J1415" s="16">
        <v>10</v>
      </c>
      <c r="K1415" s="16">
        <v>41</v>
      </c>
      <c r="L1415" s="18">
        <v>4530000000</v>
      </c>
      <c r="M1415" s="17" t="s">
        <v>3274</v>
      </c>
      <c r="N1415" s="182">
        <v>4000000</v>
      </c>
      <c r="O1415" s="16" t="s">
        <v>3275</v>
      </c>
      <c r="P1415" s="182">
        <v>13170176450</v>
      </c>
      <c r="Q1415" s="16" t="s">
        <v>3276</v>
      </c>
      <c r="R1415" s="53">
        <v>307844</v>
      </c>
      <c r="S1415" s="16" t="s">
        <v>35</v>
      </c>
      <c r="T1415" s="182">
        <v>8430940811</v>
      </c>
      <c r="U1415" s="16" t="s">
        <v>3229</v>
      </c>
      <c r="V1415" s="16" t="s">
        <v>3251</v>
      </c>
      <c r="W1415" s="16">
        <v>1448</v>
      </c>
      <c r="X1415" s="16" t="s">
        <v>3271</v>
      </c>
      <c r="Y1415" s="16"/>
      <c r="Z1415" s="16"/>
      <c r="AA1415" s="16"/>
      <c r="AB1415" s="16"/>
      <c r="AC1415" s="16"/>
      <c r="AF1415" s="208"/>
    </row>
    <row r="1416" spans="1:32" s="43" customFormat="1" ht="70" x14ac:dyDescent="0.35">
      <c r="A1416" s="17" t="s">
        <v>3921</v>
      </c>
      <c r="B1416" s="17" t="s">
        <v>45</v>
      </c>
      <c r="C1416" s="17">
        <v>2025</v>
      </c>
      <c r="D1416" s="17" t="str">
        <f t="array" ref="D1416">_xlfn.SWITCH(E1416,"Bagor","35.18.14","Sukomoro",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16" s="16" t="s">
        <v>45</v>
      </c>
      <c r="F1416" s="17" t="s">
        <v>3277</v>
      </c>
      <c r="G1416" s="17" t="s">
        <v>3278</v>
      </c>
      <c r="H1416" s="16" t="s">
        <v>81</v>
      </c>
      <c r="I1416" s="16">
        <v>12</v>
      </c>
      <c r="J1416" s="16">
        <v>2</v>
      </c>
      <c r="K1416" s="16">
        <v>14</v>
      </c>
      <c r="L1416" s="18">
        <v>1340000000</v>
      </c>
      <c r="M1416" s="17" t="s">
        <v>3279</v>
      </c>
      <c r="N1416" s="182">
        <v>6</v>
      </c>
      <c r="O1416" s="16" t="s">
        <v>95</v>
      </c>
      <c r="P1416" s="182">
        <v>648000000</v>
      </c>
      <c r="Q1416" s="16" t="s">
        <v>3280</v>
      </c>
      <c r="R1416" s="53">
        <v>18</v>
      </c>
      <c r="S1416" s="16" t="s">
        <v>3275</v>
      </c>
      <c r="T1416" s="182"/>
      <c r="U1416" s="16"/>
      <c r="V1416" s="16" t="s">
        <v>3251</v>
      </c>
      <c r="W1416" s="16"/>
      <c r="X1416" s="16"/>
      <c r="Y1416" s="16"/>
      <c r="Z1416" s="16"/>
      <c r="AA1416" s="16"/>
      <c r="AB1416" s="16"/>
      <c r="AC1416" s="16"/>
      <c r="AF1416" s="208"/>
    </row>
    <row r="1417" spans="1:32" s="43" customFormat="1" ht="60" x14ac:dyDescent="0.35">
      <c r="A1417" s="17" t="s">
        <v>3921</v>
      </c>
      <c r="B1417" s="17" t="s">
        <v>45</v>
      </c>
      <c r="C1417" s="17">
        <v>2025</v>
      </c>
      <c r="D1417" s="17" t="str">
        <f t="array" ref="D1417">_xlfn.SWITCH(E1417,"Jatikalen","35.18.20","Kertosono", "35.18.08","Lengkong","35.18.19","Loceret","35.18.04","Tanjunganom","35.18.11","Wilangan","35.18.15")</f>
        <v>35.18.11</v>
      </c>
      <c r="E1417" s="16" t="s">
        <v>60</v>
      </c>
      <c r="F1417" s="17" t="s">
        <v>3281</v>
      </c>
      <c r="G1417" s="17" t="s">
        <v>3282</v>
      </c>
      <c r="H1417" s="16" t="s">
        <v>991</v>
      </c>
      <c r="I1417" s="16">
        <v>3</v>
      </c>
      <c r="J1417" s="20">
        <v>2</v>
      </c>
      <c r="K1417" s="16">
        <v>5</v>
      </c>
      <c r="L1417" s="18">
        <v>17000000</v>
      </c>
      <c r="M1417" s="17" t="s">
        <v>3283</v>
      </c>
      <c r="N1417" s="182">
        <v>1000</v>
      </c>
      <c r="O1417" s="16" t="s">
        <v>1630</v>
      </c>
      <c r="P1417" s="182">
        <v>60000000</v>
      </c>
      <c r="Q1417" s="16" t="s">
        <v>3284</v>
      </c>
      <c r="R1417" s="53">
        <v>410</v>
      </c>
      <c r="S1417" s="16" t="s">
        <v>35</v>
      </c>
      <c r="T1417" s="182">
        <v>13300000</v>
      </c>
      <c r="U1417" s="16" t="s">
        <v>3229</v>
      </c>
      <c r="V1417" s="16" t="s">
        <v>3251</v>
      </c>
      <c r="W1417" s="16">
        <v>150</v>
      </c>
      <c r="X1417" s="16" t="s">
        <v>3252</v>
      </c>
      <c r="Y1417" s="21" t="s">
        <v>3005</v>
      </c>
      <c r="Z1417" s="21" t="s">
        <v>3005</v>
      </c>
      <c r="AA1417" s="16"/>
      <c r="AB1417" s="16"/>
      <c r="AC1417" s="16"/>
      <c r="AF1417" s="208"/>
    </row>
    <row r="1418" spans="1:32" s="43" customFormat="1" ht="50" x14ac:dyDescent="0.35">
      <c r="A1418" s="17" t="s">
        <v>3921</v>
      </c>
      <c r="B1418" s="17" t="s">
        <v>45</v>
      </c>
      <c r="C1418" s="17">
        <v>2025</v>
      </c>
      <c r="D1418" s="17" t="str">
        <f t="array" ref="D1418">_xlfn.SWITCH(E1418,"Bagor","35.18.14","Sukomoro",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418" s="16" t="s">
        <v>71</v>
      </c>
      <c r="F1418" s="17" t="s">
        <v>3285</v>
      </c>
      <c r="G1418" s="17" t="s">
        <v>3286</v>
      </c>
      <c r="H1418" s="16" t="s">
        <v>81</v>
      </c>
      <c r="I1418" s="16">
        <v>8</v>
      </c>
      <c r="J1418" s="20">
        <v>7</v>
      </c>
      <c r="K1418" s="16">
        <v>15</v>
      </c>
      <c r="L1418" s="18">
        <v>200000000</v>
      </c>
      <c r="M1418" s="17" t="s">
        <v>3287</v>
      </c>
      <c r="N1418" s="182">
        <v>96141</v>
      </c>
      <c r="O1418" s="16" t="s">
        <v>1630</v>
      </c>
      <c r="P1418" s="182">
        <v>1274680000</v>
      </c>
      <c r="Q1418" s="16" t="s">
        <v>481</v>
      </c>
      <c r="R1418" s="53">
        <v>22344</v>
      </c>
      <c r="S1418" s="16" t="s">
        <v>3288</v>
      </c>
      <c r="T1418" s="182"/>
      <c r="U1418" s="16"/>
      <c r="V1418" s="16" t="s">
        <v>3251</v>
      </c>
      <c r="W1418" s="16">
        <v>15549</v>
      </c>
      <c r="X1418" s="16" t="s">
        <v>3252</v>
      </c>
      <c r="Y1418" s="21" t="s">
        <v>3005</v>
      </c>
      <c r="Z1418" s="21" t="s">
        <v>3005</v>
      </c>
      <c r="AA1418" s="16"/>
      <c r="AB1418" s="16"/>
      <c r="AC1418" s="16"/>
      <c r="AF1418" s="208"/>
    </row>
    <row r="1419" spans="1:32" s="43" customFormat="1" ht="50" x14ac:dyDescent="0.35">
      <c r="A1419" s="17" t="s">
        <v>3921</v>
      </c>
      <c r="B1419" s="17" t="s">
        <v>45</v>
      </c>
      <c r="C1419" s="17">
        <v>2025</v>
      </c>
      <c r="D1419" s="17" t="str">
        <f t="array" ref="D1419">_xlfn.SWITCH(E1419,"Jatikalen","35.18.20","Kertosono", "35.18.08","Lengkong","35.18.19","Loceret","35.18.04","Tanjunganom","35.18.11","Wilangan","35.18.15")</f>
        <v>35.18.04</v>
      </c>
      <c r="E1419" s="16" t="s">
        <v>41</v>
      </c>
      <c r="F1419" s="17" t="s">
        <v>3289</v>
      </c>
      <c r="G1419" s="17" t="s">
        <v>3290</v>
      </c>
      <c r="H1419" s="16" t="s">
        <v>3224</v>
      </c>
      <c r="I1419" s="16">
        <v>17</v>
      </c>
      <c r="J1419" s="20">
        <v>1</v>
      </c>
      <c r="K1419" s="16">
        <v>18</v>
      </c>
      <c r="L1419" s="18">
        <v>2800000000</v>
      </c>
      <c r="M1419" s="17" t="s">
        <v>3291</v>
      </c>
      <c r="N1419" s="182">
        <v>100000</v>
      </c>
      <c r="O1419" s="16" t="s">
        <v>3288</v>
      </c>
      <c r="P1419" s="182"/>
      <c r="Q1419" s="16"/>
      <c r="R1419" s="53"/>
      <c r="S1419" s="16"/>
      <c r="T1419" s="182"/>
      <c r="U1419" s="16"/>
      <c r="V1419" s="16" t="s">
        <v>3251</v>
      </c>
      <c r="W1419" s="16">
        <v>3</v>
      </c>
      <c r="X1419" s="16" t="s">
        <v>3252</v>
      </c>
      <c r="Y1419" s="21" t="s">
        <v>3005</v>
      </c>
      <c r="Z1419" s="16"/>
      <c r="AA1419" s="16"/>
      <c r="AB1419" s="16"/>
      <c r="AC1419" s="16"/>
      <c r="AF1419" s="208"/>
    </row>
    <row r="1420" spans="1:32" s="43" customFormat="1" ht="40" x14ac:dyDescent="0.35">
      <c r="A1420" s="17" t="s">
        <v>3921</v>
      </c>
      <c r="B1420" s="17" t="s">
        <v>45</v>
      </c>
      <c r="C1420" s="17">
        <v>2025</v>
      </c>
      <c r="D1420" s="17" t="str">
        <f t="array" ref="D1420">_xlfn.SWITCH(E1420,"Bagor","35.18.14","Sukomoro",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420" s="16" t="s">
        <v>71</v>
      </c>
      <c r="F1420" s="17" t="s">
        <v>3292</v>
      </c>
      <c r="G1420" s="17" t="s">
        <v>3293</v>
      </c>
      <c r="H1420" s="16" t="s">
        <v>81</v>
      </c>
      <c r="I1420" s="16">
        <v>5</v>
      </c>
      <c r="J1420" s="20">
        <v>7</v>
      </c>
      <c r="K1420" s="16">
        <v>12</v>
      </c>
      <c r="L1420" s="18">
        <v>905850000</v>
      </c>
      <c r="M1420" s="17" t="s">
        <v>3294</v>
      </c>
      <c r="N1420" s="182"/>
      <c r="O1420" s="16"/>
      <c r="P1420" s="182"/>
      <c r="Q1420" s="16"/>
      <c r="R1420" s="53"/>
      <c r="S1420" s="16"/>
      <c r="T1420" s="182"/>
      <c r="U1420" s="16"/>
      <c r="V1420" s="16"/>
      <c r="W1420" s="16"/>
      <c r="X1420" s="16"/>
      <c r="Y1420" s="16"/>
      <c r="Z1420" s="16"/>
      <c r="AA1420" s="16"/>
      <c r="AB1420" s="16"/>
      <c r="AC1420" s="16"/>
      <c r="AF1420" s="208"/>
    </row>
    <row r="1421" spans="1:32" s="43" customFormat="1" ht="60" x14ac:dyDescent="0.35">
      <c r="A1421" s="17" t="s">
        <v>3921</v>
      </c>
      <c r="B1421" s="17" t="s">
        <v>45</v>
      </c>
      <c r="C1421" s="17">
        <v>2025</v>
      </c>
      <c r="D1421" s="17" t="str">
        <f t="array" ref="D1421">_xlfn.SWITCH(E1421,"Jatikalen","35.18.20","Kertosono", "35.18.08","Lengkong","35.18.19","Loceret","35.18.04","Tanjunganom","35.18.11","Wilangan","35.18.15")</f>
        <v>35.18.04</v>
      </c>
      <c r="E1421" s="16" t="s">
        <v>41</v>
      </c>
      <c r="F1421" s="17" t="s">
        <v>3295</v>
      </c>
      <c r="G1421" s="17" t="s">
        <v>3296</v>
      </c>
      <c r="H1421" s="16" t="s">
        <v>81</v>
      </c>
      <c r="I1421" s="16">
        <v>3</v>
      </c>
      <c r="J1421" s="20">
        <v>7</v>
      </c>
      <c r="K1421" s="16">
        <v>10</v>
      </c>
      <c r="L1421" s="18">
        <v>60000000</v>
      </c>
      <c r="M1421" s="17" t="s">
        <v>3297</v>
      </c>
      <c r="N1421" s="182">
        <v>1902000</v>
      </c>
      <c r="O1421" s="16" t="s">
        <v>3298</v>
      </c>
      <c r="P1421" s="182">
        <f>N1421*270</f>
        <v>513540000</v>
      </c>
      <c r="Q1421" s="16"/>
      <c r="R1421" s="53"/>
      <c r="S1421" s="16"/>
      <c r="T1421" s="182"/>
      <c r="U1421" s="16"/>
      <c r="V1421" s="16" t="s">
        <v>3062</v>
      </c>
      <c r="W1421" s="16">
        <v>900</v>
      </c>
      <c r="X1421" s="16" t="s">
        <v>3230</v>
      </c>
      <c r="Y1421" s="21" t="s">
        <v>3005</v>
      </c>
      <c r="Z1421" s="16"/>
      <c r="AA1421" s="16"/>
      <c r="AB1421" s="16"/>
      <c r="AC1421" s="16"/>
      <c r="AF1421" s="208"/>
    </row>
    <row r="1422" spans="1:32" s="43" customFormat="1" ht="40" x14ac:dyDescent="0.35">
      <c r="A1422" s="17" t="s">
        <v>3921</v>
      </c>
      <c r="B1422" s="17" t="s">
        <v>45</v>
      </c>
      <c r="C1422" s="17">
        <v>2025</v>
      </c>
      <c r="D1422" s="17" t="str">
        <f t="array" ref="D1422">_xlfn.SWITCH(E1422,"Bagor","35.18.14","Sukomoro",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22" s="16" t="s">
        <v>45</v>
      </c>
      <c r="F1422" s="17" t="s">
        <v>3299</v>
      </c>
      <c r="G1422" s="17" t="s">
        <v>3300</v>
      </c>
      <c r="H1422" s="16" t="s">
        <v>3224</v>
      </c>
      <c r="I1422" s="16">
        <v>11</v>
      </c>
      <c r="J1422" s="20">
        <v>26</v>
      </c>
      <c r="K1422" s="16">
        <v>37</v>
      </c>
      <c r="L1422" s="18">
        <v>317182000</v>
      </c>
      <c r="M1422" s="17" t="s">
        <v>3301</v>
      </c>
      <c r="N1422" s="182">
        <v>3186834</v>
      </c>
      <c r="O1422" s="16" t="s">
        <v>1538</v>
      </c>
      <c r="P1422" s="182">
        <v>656531048</v>
      </c>
      <c r="Q1422" s="16" t="s">
        <v>3242</v>
      </c>
      <c r="R1422" s="53">
        <v>5490</v>
      </c>
      <c r="S1422" s="16" t="s">
        <v>35</v>
      </c>
      <c r="T1422" s="182">
        <v>386274457</v>
      </c>
      <c r="U1422" s="16" t="s">
        <v>3229</v>
      </c>
      <c r="V1422" s="16" t="s">
        <v>3251</v>
      </c>
      <c r="W1422" s="16">
        <v>1157</v>
      </c>
      <c r="X1422" s="16" t="s">
        <v>3252</v>
      </c>
      <c r="Y1422" s="16"/>
      <c r="Z1422" s="16"/>
      <c r="AA1422" s="16"/>
      <c r="AB1422" s="16"/>
      <c r="AC1422" s="16"/>
      <c r="AF1422" s="208"/>
    </row>
    <row r="1423" spans="1:32" s="43" customFormat="1" ht="50" x14ac:dyDescent="0.35">
      <c r="A1423" s="17" t="s">
        <v>3921</v>
      </c>
      <c r="B1423" s="17" t="s">
        <v>45</v>
      </c>
      <c r="C1423" s="17">
        <v>2025</v>
      </c>
      <c r="D1423" s="17" t="str">
        <f t="array" ref="D1423">_xlfn.SWITCH(E1423,"Bagor","35.18.14","Sukomoro",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423" s="16" t="s">
        <v>149</v>
      </c>
      <c r="F1423" s="17" t="s">
        <v>3302</v>
      </c>
      <c r="G1423" s="17" t="s">
        <v>3303</v>
      </c>
      <c r="H1423" s="16" t="s">
        <v>81</v>
      </c>
      <c r="I1423" s="16">
        <v>11</v>
      </c>
      <c r="J1423" s="20">
        <v>18</v>
      </c>
      <c r="K1423" s="16">
        <v>29</v>
      </c>
      <c r="L1423" s="18"/>
      <c r="M1423" s="17" t="s">
        <v>3304</v>
      </c>
      <c r="N1423" s="182"/>
      <c r="O1423" s="16"/>
      <c r="P1423" s="182"/>
      <c r="Q1423" s="16"/>
      <c r="R1423" s="53"/>
      <c r="S1423" s="16"/>
      <c r="T1423" s="182"/>
      <c r="U1423" s="16"/>
      <c r="V1423" s="16"/>
      <c r="W1423" s="16"/>
      <c r="X1423" s="16"/>
      <c r="Y1423" s="16"/>
      <c r="Z1423" s="16"/>
      <c r="AA1423" s="16"/>
      <c r="AB1423" s="16"/>
      <c r="AC1423" s="16"/>
      <c r="AF1423" s="208"/>
    </row>
    <row r="1424" spans="1:32" s="43" customFormat="1" ht="60" x14ac:dyDescent="0.35">
      <c r="A1424" s="17" t="s">
        <v>3921</v>
      </c>
      <c r="B1424" s="17" t="s">
        <v>45</v>
      </c>
      <c r="C1424" s="17">
        <v>2025</v>
      </c>
      <c r="D1424" s="17" t="str">
        <f t="array" ref="D1424">_xlfn.SWITCH(E1424,"Bagor","35.18.14","Sukomoro",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424" s="16" t="s">
        <v>71</v>
      </c>
      <c r="F1424" s="17" t="s">
        <v>3305</v>
      </c>
      <c r="G1424" s="17" t="s">
        <v>3306</v>
      </c>
      <c r="H1424" s="16" t="s">
        <v>81</v>
      </c>
      <c r="I1424" s="16">
        <v>6</v>
      </c>
      <c r="J1424" s="20">
        <v>0</v>
      </c>
      <c r="K1424" s="16">
        <v>6</v>
      </c>
      <c r="L1424" s="18">
        <v>600000000</v>
      </c>
      <c r="M1424" s="17" t="s">
        <v>3307</v>
      </c>
      <c r="N1424" s="182">
        <v>16500</v>
      </c>
      <c r="O1424" s="16" t="s">
        <v>3308</v>
      </c>
      <c r="P1424" s="182">
        <v>297000000</v>
      </c>
      <c r="Q1424" s="16" t="s">
        <v>3309</v>
      </c>
      <c r="R1424" s="53">
        <v>500000</v>
      </c>
      <c r="S1424" s="16" t="s">
        <v>143</v>
      </c>
      <c r="T1424" s="182">
        <v>750000000</v>
      </c>
      <c r="U1424" s="16" t="s">
        <v>3229</v>
      </c>
      <c r="V1424" s="16" t="s">
        <v>3251</v>
      </c>
      <c r="W1424" s="16">
        <v>2200</v>
      </c>
      <c r="X1424" s="16" t="s">
        <v>3230</v>
      </c>
      <c r="Y1424" s="16"/>
      <c r="Z1424" s="16"/>
      <c r="AA1424" s="16"/>
      <c r="AB1424" s="16"/>
      <c r="AC1424" s="16"/>
      <c r="AF1424" s="208"/>
    </row>
    <row r="1425" spans="1:32" s="32" customFormat="1" ht="50" x14ac:dyDescent="0.35">
      <c r="A1425" s="17" t="s">
        <v>3921</v>
      </c>
      <c r="B1425" s="17" t="s">
        <v>45</v>
      </c>
      <c r="C1425" s="17">
        <v>2025</v>
      </c>
      <c r="D1425" s="17" t="str">
        <f t="array" ref="D1425">_xlfn.SWITCH(E1425,"Bagor","35.18.14","Sukomoro",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25" s="10" t="s">
        <v>162</v>
      </c>
      <c r="F1425" s="17" t="s">
        <v>3310</v>
      </c>
      <c r="G1425" s="195" t="s">
        <v>3311</v>
      </c>
      <c r="H1425" s="10" t="s">
        <v>81</v>
      </c>
      <c r="I1425" s="16">
        <v>8</v>
      </c>
      <c r="J1425" s="20">
        <v>0</v>
      </c>
      <c r="K1425" s="10">
        <v>8</v>
      </c>
      <c r="L1425" s="13">
        <v>70000000</v>
      </c>
      <c r="M1425" s="17" t="s">
        <v>3312</v>
      </c>
      <c r="N1425" s="14">
        <v>3</v>
      </c>
      <c r="O1425" s="10" t="s">
        <v>1263</v>
      </c>
      <c r="P1425" s="14">
        <v>12000000</v>
      </c>
      <c r="Q1425" s="10" t="s">
        <v>3313</v>
      </c>
      <c r="R1425" s="209">
        <v>36</v>
      </c>
      <c r="S1425" s="10" t="s">
        <v>1538</v>
      </c>
      <c r="T1425" s="14">
        <v>400000</v>
      </c>
      <c r="U1425" s="10" t="s">
        <v>3229</v>
      </c>
      <c r="V1425" s="16" t="s">
        <v>3251</v>
      </c>
      <c r="W1425" s="10">
        <v>1184</v>
      </c>
      <c r="X1425" s="10" t="s">
        <v>3230</v>
      </c>
      <c r="Y1425" s="10"/>
      <c r="Z1425" s="10"/>
      <c r="AA1425" s="10"/>
      <c r="AB1425" s="10"/>
      <c r="AC1425" s="10"/>
      <c r="AF1425" s="210"/>
    </row>
    <row r="1426" spans="1:32" s="32" customFormat="1" ht="100" x14ac:dyDescent="0.35">
      <c r="A1426" s="17" t="s">
        <v>3921</v>
      </c>
      <c r="B1426" s="17" t="s">
        <v>45</v>
      </c>
      <c r="C1426" s="17">
        <v>2025</v>
      </c>
      <c r="D1426" s="17" t="str">
        <f t="array" ref="D1426">_xlfn.SWITCH(E1426,"Bagor","35.18.14","Sukomoro",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426" s="10" t="s">
        <v>157</v>
      </c>
      <c r="F1426" s="17" t="s">
        <v>3267</v>
      </c>
      <c r="G1426" s="195" t="s">
        <v>3268</v>
      </c>
      <c r="H1426" s="10" t="s">
        <v>991</v>
      </c>
      <c r="I1426" s="16">
        <v>6</v>
      </c>
      <c r="J1426" s="20">
        <v>4</v>
      </c>
      <c r="K1426" s="10">
        <v>10</v>
      </c>
      <c r="L1426" s="13">
        <v>2000000000</v>
      </c>
      <c r="M1426" s="17" t="s">
        <v>3314</v>
      </c>
      <c r="N1426" s="14">
        <v>150000</v>
      </c>
      <c r="O1426" s="10" t="s">
        <v>1420</v>
      </c>
      <c r="P1426" s="14">
        <v>60000</v>
      </c>
      <c r="Q1426" s="10"/>
      <c r="R1426" s="209"/>
      <c r="S1426" s="10"/>
      <c r="T1426" s="14"/>
      <c r="U1426" s="10"/>
      <c r="V1426" s="10" t="s">
        <v>3251</v>
      </c>
      <c r="W1426" s="10">
        <v>370</v>
      </c>
      <c r="X1426" s="10" t="s">
        <v>3230</v>
      </c>
      <c r="Y1426" s="10"/>
      <c r="Z1426" s="10"/>
      <c r="AA1426" s="10"/>
      <c r="AB1426" s="10"/>
      <c r="AC1426" s="10"/>
      <c r="AF1426" s="210"/>
    </row>
    <row r="1427" spans="1:32" s="43" customFormat="1" ht="50" x14ac:dyDescent="0.35">
      <c r="A1427" s="17" t="s">
        <v>3921</v>
      </c>
      <c r="B1427" s="17" t="s">
        <v>45</v>
      </c>
      <c r="C1427" s="17">
        <v>2025</v>
      </c>
      <c r="D1427" s="17" t="str">
        <f t="array" ref="D1427">_xlfn.SWITCH(E1427,"Bagor","35.18.14","Sukomoro",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27" s="16" t="s">
        <v>45</v>
      </c>
      <c r="F1427" s="17" t="s">
        <v>3315</v>
      </c>
      <c r="G1427" s="17" t="s">
        <v>3316</v>
      </c>
      <c r="H1427" s="16" t="s">
        <v>991</v>
      </c>
      <c r="I1427" s="16">
        <v>6</v>
      </c>
      <c r="J1427" s="20">
        <v>105</v>
      </c>
      <c r="K1427" s="16">
        <v>111</v>
      </c>
      <c r="L1427" s="18">
        <v>200000000</v>
      </c>
      <c r="M1427" s="17" t="s">
        <v>3317</v>
      </c>
      <c r="N1427" s="182">
        <v>5548424</v>
      </c>
      <c r="O1427" s="16" t="s">
        <v>1538</v>
      </c>
      <c r="P1427" s="182">
        <v>1453237994</v>
      </c>
      <c r="Q1427" s="16" t="s">
        <v>3242</v>
      </c>
      <c r="R1427" s="53">
        <v>9172</v>
      </c>
      <c r="S1427" s="16" t="s">
        <v>35</v>
      </c>
      <c r="T1427" s="182">
        <v>1453237994</v>
      </c>
      <c r="U1427" s="16" t="s">
        <v>3229</v>
      </c>
      <c r="V1427" s="16"/>
      <c r="W1427" s="16"/>
      <c r="X1427" s="16"/>
      <c r="Y1427" s="16"/>
      <c r="Z1427" s="16"/>
      <c r="AA1427" s="16"/>
      <c r="AB1427" s="16"/>
      <c r="AC1427" s="16"/>
      <c r="AF1427" s="208"/>
    </row>
    <row r="1428" spans="1:32" s="43" customFormat="1" ht="50" x14ac:dyDescent="0.35">
      <c r="A1428" s="17" t="s">
        <v>3921</v>
      </c>
      <c r="B1428" s="17" t="s">
        <v>45</v>
      </c>
      <c r="C1428" s="17">
        <v>2025</v>
      </c>
      <c r="D1428" s="17" t="str">
        <f t="array" ref="D1428">_xlfn.SWITCH(E1428,"Bagor","35.18.14","Sukomoro",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428" s="16" t="s">
        <v>103</v>
      </c>
      <c r="F1428" s="17" t="s">
        <v>3318</v>
      </c>
      <c r="G1428" s="17" t="s">
        <v>3319</v>
      </c>
      <c r="H1428" s="16" t="s">
        <v>47</v>
      </c>
      <c r="I1428" s="16">
        <v>4</v>
      </c>
      <c r="J1428" s="20">
        <v>2</v>
      </c>
      <c r="K1428" s="16">
        <v>6</v>
      </c>
      <c r="L1428" s="18">
        <v>700000000</v>
      </c>
      <c r="M1428" s="17" t="s">
        <v>3320</v>
      </c>
      <c r="N1428" s="182">
        <v>173.9</v>
      </c>
      <c r="O1428" s="16" t="s">
        <v>3288</v>
      </c>
      <c r="P1428" s="182">
        <v>130457925</v>
      </c>
      <c r="Q1428" s="16" t="s">
        <v>3321</v>
      </c>
      <c r="R1428" s="53">
        <v>173</v>
      </c>
      <c r="S1428" s="16" t="s">
        <v>3288</v>
      </c>
      <c r="T1428" s="182">
        <v>130457925</v>
      </c>
      <c r="U1428" s="16"/>
      <c r="V1428" s="16"/>
      <c r="W1428" s="16"/>
      <c r="X1428" s="16"/>
      <c r="Y1428" s="16"/>
      <c r="Z1428" s="16"/>
      <c r="AA1428" s="16"/>
      <c r="AB1428" s="16"/>
      <c r="AC1428" s="16"/>
      <c r="AF1428" s="208"/>
    </row>
    <row r="1429" spans="1:32" s="43" customFormat="1" ht="40" x14ac:dyDescent="0.35">
      <c r="A1429" s="17" t="s">
        <v>3921</v>
      </c>
      <c r="B1429" s="17" t="s">
        <v>45</v>
      </c>
      <c r="C1429" s="17">
        <v>2025</v>
      </c>
      <c r="D1429" s="17" t="str">
        <f t="array" ref="D1429">_xlfn.SWITCH(E1429,"Bagor","35.18.14","Sukomoro",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429" s="16" t="s">
        <v>188</v>
      </c>
      <c r="F1429" s="17" t="s">
        <v>3322</v>
      </c>
      <c r="G1429" s="17" t="s">
        <v>3323</v>
      </c>
      <c r="H1429" s="16" t="s">
        <v>81</v>
      </c>
      <c r="I1429" s="16">
        <v>37</v>
      </c>
      <c r="J1429" s="20">
        <v>0</v>
      </c>
      <c r="K1429" s="16">
        <v>37</v>
      </c>
      <c r="L1429" s="18">
        <v>200000000</v>
      </c>
      <c r="M1429" s="17" t="s">
        <v>3324</v>
      </c>
      <c r="N1429" s="182">
        <v>290</v>
      </c>
      <c r="O1429" s="16" t="s">
        <v>83</v>
      </c>
      <c r="P1429" s="182">
        <v>220660000</v>
      </c>
      <c r="Q1429" s="53" t="s">
        <v>3325</v>
      </c>
      <c r="R1429" s="53">
        <v>3586</v>
      </c>
      <c r="S1429" s="16" t="s">
        <v>83</v>
      </c>
      <c r="T1429" s="182">
        <v>187709904</v>
      </c>
      <c r="U1429" s="16" t="s">
        <v>3229</v>
      </c>
      <c r="V1429" s="16" t="s">
        <v>3251</v>
      </c>
      <c r="W1429" s="16">
        <v>29300</v>
      </c>
      <c r="X1429" s="16" t="s">
        <v>3252</v>
      </c>
      <c r="Y1429" s="21" t="s">
        <v>3005</v>
      </c>
      <c r="Z1429" s="16"/>
      <c r="AA1429" s="16"/>
      <c r="AB1429" s="16"/>
      <c r="AC1429" s="16"/>
      <c r="AF1429" s="208"/>
    </row>
    <row r="1430" spans="1:32" s="43" customFormat="1" ht="50" x14ac:dyDescent="0.35">
      <c r="A1430" s="17" t="s">
        <v>3921</v>
      </c>
      <c r="B1430" s="17" t="s">
        <v>45</v>
      </c>
      <c r="C1430" s="17">
        <v>2025</v>
      </c>
      <c r="D1430" s="17" t="str">
        <f t="array" ref="D1430">_xlfn.SWITCH(E1430,"Bagor","35.18.14","Sukomoro",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430" s="16" t="s">
        <v>92</v>
      </c>
      <c r="F1430" s="17" t="s">
        <v>3326</v>
      </c>
      <c r="G1430" s="17" t="s">
        <v>3327</v>
      </c>
      <c r="H1430" s="16" t="s">
        <v>81</v>
      </c>
      <c r="I1430" s="16">
        <v>3</v>
      </c>
      <c r="J1430" s="20">
        <v>5</v>
      </c>
      <c r="K1430" s="16">
        <v>8</v>
      </c>
      <c r="L1430" s="18"/>
      <c r="M1430" s="17" t="s">
        <v>3328</v>
      </c>
      <c r="N1430" s="182"/>
      <c r="O1430" s="16"/>
      <c r="P1430" s="182"/>
      <c r="Q1430" s="16"/>
      <c r="R1430" s="53"/>
      <c r="S1430" s="16"/>
      <c r="T1430" s="182"/>
      <c r="U1430" s="16"/>
      <c r="V1430" s="16"/>
      <c r="W1430" s="16"/>
      <c r="X1430" s="16"/>
      <c r="Y1430" s="16"/>
      <c r="Z1430" s="16"/>
      <c r="AA1430" s="16"/>
      <c r="AB1430" s="16"/>
      <c r="AC1430" s="16"/>
      <c r="AF1430" s="208"/>
    </row>
    <row r="1431" spans="1:32" s="43" customFormat="1" ht="40" x14ac:dyDescent="0.35">
      <c r="A1431" s="17" t="s">
        <v>3921</v>
      </c>
      <c r="B1431" s="17" t="s">
        <v>45</v>
      </c>
      <c r="C1431" s="17">
        <v>2025</v>
      </c>
      <c r="D1431" s="17" t="str">
        <f t="array" ref="D1431">_xlfn.SWITCH(E1431,"Bagor","35.18.14","Sukomoro",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31" s="16" t="s">
        <v>45</v>
      </c>
      <c r="F1431" s="17" t="s">
        <v>3329</v>
      </c>
      <c r="G1431" s="17" t="s">
        <v>3330</v>
      </c>
      <c r="H1431" s="16" t="s">
        <v>3224</v>
      </c>
      <c r="I1431" s="16">
        <v>16</v>
      </c>
      <c r="J1431" s="20">
        <v>65</v>
      </c>
      <c r="K1431" s="16">
        <v>81</v>
      </c>
      <c r="L1431" s="18">
        <v>1202350021</v>
      </c>
      <c r="M1431" s="17" t="s">
        <v>3331</v>
      </c>
      <c r="N1431" s="182">
        <v>5125740</v>
      </c>
      <c r="O1431" s="16" t="s">
        <v>33</v>
      </c>
      <c r="P1431" s="182">
        <v>2073377310</v>
      </c>
      <c r="Q1431" s="16" t="s">
        <v>3242</v>
      </c>
      <c r="R1431" s="53">
        <v>30512</v>
      </c>
      <c r="S1431" s="16" t="s">
        <v>35</v>
      </c>
      <c r="T1431" s="182">
        <v>2539071000</v>
      </c>
      <c r="U1431" s="16" t="s">
        <v>3229</v>
      </c>
      <c r="V1431" s="16" t="s">
        <v>3251</v>
      </c>
      <c r="W1431" s="16">
        <v>2616</v>
      </c>
      <c r="X1431" s="16" t="s">
        <v>3252</v>
      </c>
      <c r="Y1431" s="21" t="s">
        <v>3005</v>
      </c>
      <c r="Z1431" s="16"/>
      <c r="AA1431" s="16"/>
      <c r="AB1431" s="16"/>
      <c r="AC1431" s="16"/>
      <c r="AF1431" s="208"/>
    </row>
    <row r="1432" spans="1:32" s="43" customFormat="1" ht="60" x14ac:dyDescent="0.35">
      <c r="A1432" s="17" t="s">
        <v>3921</v>
      </c>
      <c r="B1432" s="17" t="s">
        <v>45</v>
      </c>
      <c r="C1432" s="17">
        <v>2025</v>
      </c>
      <c r="D1432" s="17" t="str">
        <f t="array" ref="D1432">_xlfn.SWITCH(E1432,"Bagor","35.18.14","Sukomoro",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432" s="16" t="s">
        <v>114</v>
      </c>
      <c r="F1432" s="17" t="s">
        <v>3332</v>
      </c>
      <c r="G1432" s="17" t="s">
        <v>3333</v>
      </c>
      <c r="H1432" s="16" t="s">
        <v>991</v>
      </c>
      <c r="I1432" s="16">
        <v>17</v>
      </c>
      <c r="J1432" s="20">
        <v>1</v>
      </c>
      <c r="K1432" s="16">
        <v>18</v>
      </c>
      <c r="L1432" s="18">
        <v>1652310150</v>
      </c>
      <c r="M1432" s="17" t="s">
        <v>3334</v>
      </c>
      <c r="N1432" s="182">
        <v>100</v>
      </c>
      <c r="O1432" s="16" t="s">
        <v>83</v>
      </c>
      <c r="P1432" s="182">
        <f>N1432*20000000</f>
        <v>2000000000</v>
      </c>
      <c r="Q1432" s="16"/>
      <c r="R1432" s="53"/>
      <c r="S1432" s="16"/>
      <c r="T1432" s="182"/>
      <c r="U1432" s="16"/>
      <c r="V1432" s="16"/>
      <c r="W1432" s="16"/>
      <c r="X1432" s="16"/>
      <c r="Y1432" s="16"/>
      <c r="Z1432" s="16"/>
      <c r="AA1432" s="16"/>
      <c r="AB1432" s="16"/>
      <c r="AC1432" s="16"/>
      <c r="AF1432" s="208"/>
    </row>
    <row r="1433" spans="1:32" s="43" customFormat="1" ht="40" x14ac:dyDescent="0.35">
      <c r="A1433" s="17" t="s">
        <v>3921</v>
      </c>
      <c r="B1433" s="17" t="s">
        <v>45</v>
      </c>
      <c r="C1433" s="17">
        <v>2025</v>
      </c>
      <c r="D1433" s="17" t="str">
        <f t="array" ref="D1433">_xlfn.SWITCH(E1433,"Jatikalen","35.18.20","Kertosono", "35.18.08","Lengkong","35.18.19","Loceret","35.18.04","Tanjunganom","35.18.11","Wilangan","35.18.15")</f>
        <v>35.18.04</v>
      </c>
      <c r="E1433" s="16" t="s">
        <v>41</v>
      </c>
      <c r="F1433" s="17" t="s">
        <v>3335</v>
      </c>
      <c r="G1433" s="17" t="s">
        <v>3336</v>
      </c>
      <c r="H1433" s="16" t="s">
        <v>3224</v>
      </c>
      <c r="I1433" s="16">
        <v>43</v>
      </c>
      <c r="J1433" s="20">
        <v>2</v>
      </c>
      <c r="K1433" s="16">
        <v>45</v>
      </c>
      <c r="L1433" s="18">
        <v>550000000</v>
      </c>
      <c r="M1433" s="17" t="s">
        <v>3337</v>
      </c>
      <c r="N1433" s="182">
        <v>1522</v>
      </c>
      <c r="O1433" s="16" t="s">
        <v>3288</v>
      </c>
      <c r="P1433" s="182">
        <v>2318839092</v>
      </c>
      <c r="Q1433" s="16" t="s">
        <v>3338</v>
      </c>
      <c r="R1433" s="53">
        <v>1518</v>
      </c>
      <c r="S1433" s="16" t="s">
        <v>3288</v>
      </c>
      <c r="T1433" s="182">
        <v>1823608650</v>
      </c>
      <c r="U1433" s="16" t="s">
        <v>3229</v>
      </c>
      <c r="V1433" s="16"/>
      <c r="W1433" s="16"/>
      <c r="X1433" s="16"/>
      <c r="Y1433" s="16"/>
      <c r="Z1433" s="16"/>
      <c r="AA1433" s="16"/>
      <c r="AB1433" s="16"/>
      <c r="AC1433" s="16"/>
      <c r="AF1433" s="208"/>
    </row>
    <row r="1434" spans="1:32" s="43" customFormat="1" ht="40" x14ac:dyDescent="0.35">
      <c r="A1434" s="17" t="s">
        <v>3921</v>
      </c>
      <c r="B1434" s="17" t="s">
        <v>45</v>
      </c>
      <c r="C1434" s="17">
        <v>2025</v>
      </c>
      <c r="D1434" s="17" t="str">
        <f t="array" ref="D1434">_xlfn.SWITCH(E1434,"Bagor","35.18.14","Sukomoro",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434" s="16" t="s">
        <v>140</v>
      </c>
      <c r="F1434" s="17" t="s">
        <v>3339</v>
      </c>
      <c r="G1434" s="17" t="s">
        <v>3340</v>
      </c>
      <c r="H1434" s="16" t="s">
        <v>991</v>
      </c>
      <c r="I1434" s="16">
        <v>107</v>
      </c>
      <c r="J1434" s="20">
        <v>55</v>
      </c>
      <c r="K1434" s="16">
        <v>162</v>
      </c>
      <c r="L1434" s="18">
        <v>2476000000</v>
      </c>
      <c r="M1434" s="17" t="s">
        <v>3341</v>
      </c>
      <c r="N1434" s="182">
        <v>4349548</v>
      </c>
      <c r="O1434" s="16" t="s">
        <v>3275</v>
      </c>
      <c r="P1434" s="182">
        <f>N1434*1500</f>
        <v>6524322000</v>
      </c>
      <c r="Q1434" s="16" t="s">
        <v>2265</v>
      </c>
      <c r="R1434" s="53">
        <v>165000</v>
      </c>
      <c r="S1434" s="16" t="s">
        <v>35</v>
      </c>
      <c r="T1434" s="182">
        <v>1231989000</v>
      </c>
      <c r="U1434" s="16"/>
      <c r="V1434" s="16"/>
      <c r="W1434" s="16"/>
      <c r="X1434" s="16"/>
      <c r="Y1434" s="21" t="s">
        <v>3005</v>
      </c>
      <c r="Z1434" s="21" t="s">
        <v>3005</v>
      </c>
      <c r="AA1434" s="16"/>
      <c r="AB1434" s="16"/>
      <c r="AC1434" s="16"/>
      <c r="AF1434" s="208"/>
    </row>
    <row r="1435" spans="1:32" s="43" customFormat="1" ht="60" x14ac:dyDescent="0.35">
      <c r="A1435" s="17" t="s">
        <v>3921</v>
      </c>
      <c r="B1435" s="17" t="s">
        <v>45</v>
      </c>
      <c r="C1435" s="17">
        <v>2025</v>
      </c>
      <c r="D1435" s="17" t="str">
        <f t="array" ref="D1435">_xlfn.SWITCH(E1435,"Bagor","35.18.14","Sukomoro",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435" s="16" t="s">
        <v>140</v>
      </c>
      <c r="F1435" s="17" t="s">
        <v>3342</v>
      </c>
      <c r="G1435" s="17" t="s">
        <v>3002</v>
      </c>
      <c r="H1435" s="16" t="s">
        <v>991</v>
      </c>
      <c r="I1435" s="16">
        <v>34</v>
      </c>
      <c r="J1435" s="20">
        <v>27</v>
      </c>
      <c r="K1435" s="16">
        <v>61</v>
      </c>
      <c r="L1435" s="18">
        <v>2400000000</v>
      </c>
      <c r="M1435" s="17" t="s">
        <v>3343</v>
      </c>
      <c r="N1435" s="182">
        <v>1260</v>
      </c>
      <c r="O1435" s="16" t="s">
        <v>962</v>
      </c>
      <c r="P1435" s="182">
        <v>4100000000</v>
      </c>
      <c r="Q1435" s="16" t="s">
        <v>3344</v>
      </c>
      <c r="R1435" s="53">
        <v>9000</v>
      </c>
      <c r="S1435" s="16" t="s">
        <v>35</v>
      </c>
      <c r="T1435" s="182">
        <v>3000000000</v>
      </c>
      <c r="U1435" s="16" t="s">
        <v>3229</v>
      </c>
      <c r="V1435" s="16"/>
      <c r="W1435" s="16"/>
      <c r="X1435" s="16"/>
      <c r="Y1435" s="21" t="s">
        <v>3005</v>
      </c>
      <c r="Z1435" s="21" t="s">
        <v>3005</v>
      </c>
      <c r="AA1435" s="16"/>
      <c r="AB1435" s="16"/>
      <c r="AC1435" s="16"/>
      <c r="AF1435" s="208"/>
    </row>
    <row r="1436" spans="1:32" s="43" customFormat="1" ht="50" x14ac:dyDescent="0.35">
      <c r="A1436" s="17" t="s">
        <v>3921</v>
      </c>
      <c r="B1436" s="17" t="s">
        <v>45</v>
      </c>
      <c r="C1436" s="17">
        <v>2025</v>
      </c>
      <c r="D1436" s="17" t="str">
        <f t="array" ref="D1436">_xlfn.SWITCH(E1436,"Jatikalen","35.18.20","Kertosono", "35.18.08","Lengkong","35.18.19","Loceret","35.18.04","Tanjunganom","35.18.11","Wilangan","35.18.15")</f>
        <v>35.18.11</v>
      </c>
      <c r="E1436" s="16" t="s">
        <v>60</v>
      </c>
      <c r="F1436" s="17" t="s">
        <v>3345</v>
      </c>
      <c r="G1436" s="17" t="s">
        <v>3346</v>
      </c>
      <c r="H1436" s="16" t="s">
        <v>991</v>
      </c>
      <c r="I1436" s="16">
        <v>110</v>
      </c>
      <c r="J1436" s="20">
        <v>5</v>
      </c>
      <c r="K1436" s="16">
        <v>115</v>
      </c>
      <c r="L1436" s="18">
        <v>300000000</v>
      </c>
      <c r="M1436" s="17" t="s">
        <v>3347</v>
      </c>
      <c r="N1436" s="182">
        <v>148</v>
      </c>
      <c r="O1436" s="16" t="s">
        <v>962</v>
      </c>
      <c r="P1436" s="182">
        <v>192000000</v>
      </c>
      <c r="Q1436" s="16" t="s">
        <v>88</v>
      </c>
      <c r="R1436" s="53"/>
      <c r="S1436" s="16"/>
      <c r="T1436" s="182"/>
      <c r="U1436" s="16"/>
      <c r="V1436" s="16" t="s">
        <v>52</v>
      </c>
      <c r="W1436" s="16">
        <v>10000</v>
      </c>
      <c r="X1436" s="16" t="s">
        <v>143</v>
      </c>
      <c r="Y1436" s="21" t="s">
        <v>3005</v>
      </c>
      <c r="Z1436" s="21" t="s">
        <v>3005</v>
      </c>
      <c r="AA1436" s="16"/>
      <c r="AB1436" s="16"/>
      <c r="AC1436" s="16"/>
      <c r="AF1436" s="208"/>
    </row>
    <row r="1437" spans="1:32" s="43" customFormat="1" ht="50" x14ac:dyDescent="0.35">
      <c r="A1437" s="17" t="s">
        <v>3921</v>
      </c>
      <c r="B1437" s="17" t="s">
        <v>45</v>
      </c>
      <c r="C1437" s="17">
        <v>2025</v>
      </c>
      <c r="D1437" s="17" t="str">
        <f t="array" ref="D1437">_xlfn.SWITCH(E1437,"Bagor","35.18.14","Sukomoro",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437" s="16" t="s">
        <v>124</v>
      </c>
      <c r="F1437" s="17" t="s">
        <v>3348</v>
      </c>
      <c r="G1437" s="17" t="s">
        <v>3349</v>
      </c>
      <c r="H1437" s="16" t="s">
        <v>991</v>
      </c>
      <c r="I1437" s="16">
        <v>8</v>
      </c>
      <c r="J1437" s="20">
        <v>2</v>
      </c>
      <c r="K1437" s="16">
        <v>10</v>
      </c>
      <c r="L1437" s="18">
        <v>1000000000</v>
      </c>
      <c r="M1437" s="17" t="s">
        <v>3350</v>
      </c>
      <c r="N1437" s="182">
        <v>4500</v>
      </c>
      <c r="O1437" s="16" t="s">
        <v>1672</v>
      </c>
      <c r="P1437" s="182">
        <v>1500000000</v>
      </c>
      <c r="Q1437" s="16" t="s">
        <v>3351</v>
      </c>
      <c r="R1437" s="53">
        <v>18000</v>
      </c>
      <c r="S1437" s="16" t="s">
        <v>3352</v>
      </c>
      <c r="T1437" s="182">
        <v>1500000000</v>
      </c>
      <c r="U1437" s="16" t="s">
        <v>3229</v>
      </c>
      <c r="V1437" s="16" t="s">
        <v>3251</v>
      </c>
      <c r="W1437" s="16">
        <v>1086</v>
      </c>
      <c r="X1437" s="16" t="s">
        <v>3252</v>
      </c>
      <c r="Y1437" s="21" t="s">
        <v>3005</v>
      </c>
      <c r="Z1437" s="21" t="s">
        <v>3005</v>
      </c>
      <c r="AA1437" s="16"/>
      <c r="AB1437" s="16"/>
      <c r="AC1437" s="16"/>
      <c r="AF1437" s="208"/>
    </row>
    <row r="1438" spans="1:32" s="43" customFormat="1" ht="20" x14ac:dyDescent="0.35">
      <c r="A1438" s="17" t="s">
        <v>3921</v>
      </c>
      <c r="B1438" s="17" t="s">
        <v>45</v>
      </c>
      <c r="C1438" s="17">
        <v>2025</v>
      </c>
      <c r="D1438" s="17" t="str">
        <f t="array" ref="D1438">_xlfn.SWITCH(E1438,"Jatikalen","35.18.20","Kertosono", "35.18.08","Lengkong","35.18.19","Loceret","35.18.04","Tanjunganom","35.18.11","Wilangan","35.18.15")</f>
        <v>35.18.19</v>
      </c>
      <c r="E1438" s="16" t="s">
        <v>64</v>
      </c>
      <c r="F1438" s="17" t="s">
        <v>3353</v>
      </c>
      <c r="G1438" s="17" t="s">
        <v>3354</v>
      </c>
      <c r="H1438" s="16" t="s">
        <v>31</v>
      </c>
      <c r="I1438" s="16">
        <v>0</v>
      </c>
      <c r="J1438" s="20">
        <v>2</v>
      </c>
      <c r="K1438" s="16">
        <v>2</v>
      </c>
      <c r="L1438" s="18">
        <v>1500000</v>
      </c>
      <c r="M1438" s="17" t="s">
        <v>1478</v>
      </c>
      <c r="N1438" s="182">
        <v>24</v>
      </c>
      <c r="O1438" s="16" t="s">
        <v>3355</v>
      </c>
      <c r="P1438" s="182">
        <v>5600000</v>
      </c>
      <c r="Q1438" s="16" t="s">
        <v>160</v>
      </c>
      <c r="R1438" s="53"/>
      <c r="S1438" s="16"/>
      <c r="T1438" s="182"/>
      <c r="U1438" s="16"/>
      <c r="V1438" s="16" t="s">
        <v>3356</v>
      </c>
      <c r="W1438" s="16">
        <v>8</v>
      </c>
      <c r="X1438" s="16" t="s">
        <v>3357</v>
      </c>
      <c r="Y1438" s="16"/>
      <c r="Z1438" s="21" t="s">
        <v>3005</v>
      </c>
      <c r="AA1438" s="16"/>
      <c r="AB1438" s="16"/>
      <c r="AC1438" s="211">
        <v>2411210015971</v>
      </c>
      <c r="AF1438" s="208"/>
    </row>
    <row r="1439" spans="1:32" s="43" customFormat="1" ht="20" x14ac:dyDescent="0.35">
      <c r="A1439" s="17" t="s">
        <v>3921</v>
      </c>
      <c r="B1439" s="17" t="s">
        <v>45</v>
      </c>
      <c r="C1439" s="17">
        <v>2025</v>
      </c>
      <c r="D1439" s="17" t="str">
        <f t="array" ref="D1439">_xlfn.SWITCH(E1439,"Jatikalen","35.18.20","Kertosono", "35.18.08","Lengkong","35.18.19","Loceret","35.18.04","Tanjunganom","35.18.11","Wilangan","35.18.15")</f>
        <v>35.18.19</v>
      </c>
      <c r="E1439" s="16" t="s">
        <v>64</v>
      </c>
      <c r="F1439" s="17" t="s">
        <v>3358</v>
      </c>
      <c r="G1439" s="17" t="s">
        <v>3359</v>
      </c>
      <c r="H1439" s="16" t="s">
        <v>31</v>
      </c>
      <c r="I1439" s="16">
        <v>0</v>
      </c>
      <c r="J1439" s="20">
        <v>1</v>
      </c>
      <c r="K1439" s="16">
        <v>1</v>
      </c>
      <c r="L1439" s="18">
        <v>1300000</v>
      </c>
      <c r="M1439" s="17" t="s">
        <v>2464</v>
      </c>
      <c r="N1439" s="182">
        <v>1400</v>
      </c>
      <c r="O1439" s="16" t="s">
        <v>3360</v>
      </c>
      <c r="P1439" s="182">
        <v>1500000</v>
      </c>
      <c r="Q1439" s="16" t="s">
        <v>1963</v>
      </c>
      <c r="R1439" s="53"/>
      <c r="S1439" s="16"/>
      <c r="T1439" s="182"/>
      <c r="U1439" s="16"/>
      <c r="V1439" s="16" t="s">
        <v>57</v>
      </c>
      <c r="W1439" s="16"/>
      <c r="X1439" s="16"/>
      <c r="Y1439" s="21" t="s">
        <v>3005</v>
      </c>
      <c r="Z1439" s="16"/>
      <c r="AA1439" s="16"/>
      <c r="AB1439" s="16"/>
      <c r="AC1439" s="16"/>
      <c r="AF1439" s="208"/>
    </row>
    <row r="1440" spans="1:32" s="43" customFormat="1" ht="20" x14ac:dyDescent="0.35">
      <c r="A1440" s="17" t="s">
        <v>3921</v>
      </c>
      <c r="B1440" s="17" t="s">
        <v>45</v>
      </c>
      <c r="C1440" s="17">
        <v>2025</v>
      </c>
      <c r="D1440" s="17" t="str">
        <f t="array" ref="D1440">_xlfn.SWITCH(E1440,"Jatikalen","35.18.20","Kertosono", "35.18.08","Lengkong","35.18.19","Loceret","35.18.04","Tanjunganom","35.18.11","Wilangan","35.18.15")</f>
        <v>35.18.19</v>
      </c>
      <c r="E1440" s="16" t="s">
        <v>64</v>
      </c>
      <c r="F1440" s="17" t="s">
        <v>3361</v>
      </c>
      <c r="G1440" s="17" t="s">
        <v>3362</v>
      </c>
      <c r="H1440" s="16" t="s">
        <v>31</v>
      </c>
      <c r="I1440" s="16">
        <v>0</v>
      </c>
      <c r="J1440" s="20">
        <v>1</v>
      </c>
      <c r="K1440" s="16">
        <v>1</v>
      </c>
      <c r="L1440" s="18">
        <v>2400000</v>
      </c>
      <c r="M1440" s="17" t="s">
        <v>2464</v>
      </c>
      <c r="N1440" s="182">
        <v>300</v>
      </c>
      <c r="O1440" s="16" t="s">
        <v>152</v>
      </c>
      <c r="P1440" s="182">
        <v>3000000</v>
      </c>
      <c r="Q1440" s="16" t="s">
        <v>1963</v>
      </c>
      <c r="R1440" s="53"/>
      <c r="S1440" s="16"/>
      <c r="T1440" s="182"/>
      <c r="U1440" s="16"/>
      <c r="V1440" s="16" t="s">
        <v>3356</v>
      </c>
      <c r="W1440" s="16">
        <v>4</v>
      </c>
      <c r="X1440" s="16" t="s">
        <v>3357</v>
      </c>
      <c r="Y1440" s="21" t="s">
        <v>3005</v>
      </c>
      <c r="Z1440" s="16"/>
      <c r="AA1440" s="16"/>
      <c r="AB1440" s="16"/>
      <c r="AC1440" s="16"/>
      <c r="AF1440" s="208"/>
    </row>
    <row r="1441" spans="1:32" s="43" customFormat="1" ht="20" x14ac:dyDescent="0.35">
      <c r="A1441" s="17" t="s">
        <v>3921</v>
      </c>
      <c r="B1441" s="17" t="s">
        <v>45</v>
      </c>
      <c r="C1441" s="17">
        <v>2025</v>
      </c>
      <c r="D1441" s="17" t="str">
        <f t="array" ref="D1441">_xlfn.SWITCH(E1441,"Jatikalen","35.18.20","Kertosono", "35.18.08","Lengkong","35.18.19","Loceret","35.18.04","Tanjunganom","35.18.11","Wilangan","35.18.15")</f>
        <v>35.18.19</v>
      </c>
      <c r="E1441" s="16" t="s">
        <v>64</v>
      </c>
      <c r="F1441" s="17" t="s">
        <v>3361</v>
      </c>
      <c r="G1441" s="17" t="s">
        <v>3363</v>
      </c>
      <c r="H1441" s="16" t="s">
        <v>31</v>
      </c>
      <c r="I1441" s="16">
        <v>0</v>
      </c>
      <c r="J1441" s="20">
        <v>1</v>
      </c>
      <c r="K1441" s="16">
        <v>1</v>
      </c>
      <c r="L1441" s="18">
        <v>1500000</v>
      </c>
      <c r="M1441" s="17" t="s">
        <v>2464</v>
      </c>
      <c r="N1441" s="182">
        <v>375</v>
      </c>
      <c r="O1441" s="16" t="s">
        <v>152</v>
      </c>
      <c r="P1441" s="182">
        <v>1800000</v>
      </c>
      <c r="Q1441" s="16" t="s">
        <v>1963</v>
      </c>
      <c r="R1441" s="53"/>
      <c r="S1441" s="16"/>
      <c r="T1441" s="182"/>
      <c r="U1441" s="16"/>
      <c r="V1441" s="16" t="s">
        <v>3356</v>
      </c>
      <c r="W1441" s="16">
        <v>3</v>
      </c>
      <c r="X1441" s="16" t="s">
        <v>3357</v>
      </c>
      <c r="Y1441" s="21" t="s">
        <v>3005</v>
      </c>
      <c r="Z1441" s="16"/>
      <c r="AA1441" s="16"/>
      <c r="AB1441" s="16"/>
      <c r="AC1441" s="16"/>
      <c r="AF1441" s="208"/>
    </row>
    <row r="1442" spans="1:32" s="43" customFormat="1" ht="20" x14ac:dyDescent="0.35">
      <c r="A1442" s="17" t="s">
        <v>3921</v>
      </c>
      <c r="B1442" s="17" t="s">
        <v>45</v>
      </c>
      <c r="C1442" s="17">
        <v>2025</v>
      </c>
      <c r="D1442" s="17" t="str">
        <f t="array" ref="D1442">_xlfn.SWITCH(E1442,"Jatikalen","35.18.20","Kertosono", "35.18.08","Lengkong","35.18.19","Loceret","35.18.04","Tanjunganom","35.18.11","Wilangan","35.18.15")</f>
        <v>35.18.19</v>
      </c>
      <c r="E1442" s="16" t="s">
        <v>64</v>
      </c>
      <c r="F1442" s="17" t="s">
        <v>3364</v>
      </c>
      <c r="G1442" s="17" t="s">
        <v>3365</v>
      </c>
      <c r="H1442" s="16" t="s">
        <v>31</v>
      </c>
      <c r="I1442" s="16">
        <v>0</v>
      </c>
      <c r="J1442" s="20">
        <v>1</v>
      </c>
      <c r="K1442" s="16">
        <v>1</v>
      </c>
      <c r="L1442" s="18">
        <v>7000000</v>
      </c>
      <c r="M1442" s="17" t="s">
        <v>2479</v>
      </c>
      <c r="N1442" s="182">
        <v>2400</v>
      </c>
      <c r="O1442" s="16" t="s">
        <v>3360</v>
      </c>
      <c r="P1442" s="182"/>
      <c r="Q1442" s="16" t="s">
        <v>3366</v>
      </c>
      <c r="R1442" s="53">
        <v>60</v>
      </c>
      <c r="S1442" s="16" t="s">
        <v>35</v>
      </c>
      <c r="T1442" s="182">
        <v>900000</v>
      </c>
      <c r="U1442" s="16"/>
      <c r="V1442" s="16" t="s">
        <v>3356</v>
      </c>
      <c r="W1442" s="16">
        <v>30</v>
      </c>
      <c r="X1442" s="16" t="s">
        <v>3357</v>
      </c>
      <c r="Y1442" s="21" t="s">
        <v>3005</v>
      </c>
      <c r="Z1442" s="16"/>
      <c r="AA1442" s="16"/>
      <c r="AB1442" s="16"/>
      <c r="AC1442" s="16"/>
      <c r="AF1442" s="208"/>
    </row>
    <row r="1443" spans="1:32" s="43" customFormat="1" ht="30" x14ac:dyDescent="0.35">
      <c r="A1443" s="17" t="s">
        <v>3921</v>
      </c>
      <c r="B1443" s="17" t="s">
        <v>45</v>
      </c>
      <c r="C1443" s="17">
        <v>2025</v>
      </c>
      <c r="D1443" s="17" t="str">
        <f t="array" ref="D1443">_xlfn.SWITCH(E1443,"Jatikalen","35.18.20","Kertosono", "35.18.08","Lengkong","35.18.19","Loceret","35.18.04","Tanjunganom","35.18.11","Wilangan","35.18.15")</f>
        <v>35.18.19</v>
      </c>
      <c r="E1443" s="16" t="s">
        <v>64</v>
      </c>
      <c r="F1443" s="17" t="s">
        <v>3367</v>
      </c>
      <c r="G1443" s="17" t="s">
        <v>3368</v>
      </c>
      <c r="H1443" s="16" t="s">
        <v>31</v>
      </c>
      <c r="I1443" s="16">
        <v>0</v>
      </c>
      <c r="J1443" s="20">
        <v>1</v>
      </c>
      <c r="K1443" s="16">
        <v>1</v>
      </c>
      <c r="L1443" s="18">
        <v>20000000</v>
      </c>
      <c r="M1443" s="17" t="s">
        <v>2264</v>
      </c>
      <c r="N1443" s="182">
        <v>300</v>
      </c>
      <c r="O1443" s="16" t="s">
        <v>3369</v>
      </c>
      <c r="P1443" s="182">
        <v>900000</v>
      </c>
      <c r="Q1443" s="16" t="s">
        <v>2434</v>
      </c>
      <c r="R1443" s="53">
        <v>1</v>
      </c>
      <c r="S1443" s="16" t="s">
        <v>3370</v>
      </c>
      <c r="T1443" s="182">
        <v>225000</v>
      </c>
      <c r="U1443" s="16"/>
      <c r="V1443" s="16" t="s">
        <v>3371</v>
      </c>
      <c r="W1443" s="16" t="s">
        <v>3372</v>
      </c>
      <c r="X1443" s="16" t="s">
        <v>3373</v>
      </c>
      <c r="Y1443" s="21" t="s">
        <v>3005</v>
      </c>
      <c r="Z1443" s="16"/>
      <c r="AA1443" s="16"/>
      <c r="AB1443" s="16"/>
      <c r="AC1443" s="16"/>
      <c r="AF1443" s="208"/>
    </row>
    <row r="1444" spans="1:32" s="43" customFormat="1" ht="20" x14ac:dyDescent="0.35">
      <c r="A1444" s="17" t="s">
        <v>3921</v>
      </c>
      <c r="B1444" s="17" t="s">
        <v>45</v>
      </c>
      <c r="C1444" s="17">
        <v>2025</v>
      </c>
      <c r="D1444" s="17" t="str">
        <f t="array" ref="D1444">_xlfn.SWITCH(E1444,"Jatikalen","35.18.20","Kertosono", "35.18.08","Lengkong","35.18.19","Loceret","35.18.04","Tanjunganom","35.18.11","Wilangan","35.18.15")</f>
        <v>35.18.19</v>
      </c>
      <c r="E1444" s="16" t="s">
        <v>64</v>
      </c>
      <c r="F1444" s="17" t="s">
        <v>3374</v>
      </c>
      <c r="G1444" s="17" t="s">
        <v>3375</v>
      </c>
      <c r="H1444" s="16" t="s">
        <v>31</v>
      </c>
      <c r="I1444" s="16">
        <v>0</v>
      </c>
      <c r="J1444" s="20">
        <v>1</v>
      </c>
      <c r="K1444" s="16">
        <v>1</v>
      </c>
      <c r="L1444" s="18">
        <v>2000000</v>
      </c>
      <c r="M1444" s="17" t="s">
        <v>3376</v>
      </c>
      <c r="N1444" s="182">
        <v>30</v>
      </c>
      <c r="O1444" s="16" t="s">
        <v>35</v>
      </c>
      <c r="P1444" s="182">
        <v>2000000</v>
      </c>
      <c r="Q1444" s="16" t="s">
        <v>1963</v>
      </c>
      <c r="R1444" s="53">
        <v>60</v>
      </c>
      <c r="S1444" s="16" t="s">
        <v>35</v>
      </c>
      <c r="T1444" s="182">
        <v>460000</v>
      </c>
      <c r="U1444" s="16"/>
      <c r="V1444" s="16" t="s">
        <v>3356</v>
      </c>
      <c r="W1444" s="16">
        <v>3</v>
      </c>
      <c r="X1444" s="16" t="s">
        <v>3357</v>
      </c>
      <c r="Y1444" s="21" t="s">
        <v>3005</v>
      </c>
      <c r="Z1444" s="21" t="s">
        <v>3005</v>
      </c>
      <c r="AA1444" s="16"/>
      <c r="AB1444" s="16"/>
      <c r="AC1444" s="16"/>
      <c r="AF1444" s="208"/>
    </row>
    <row r="1445" spans="1:32" s="43" customFormat="1" ht="20" x14ac:dyDescent="0.35">
      <c r="A1445" s="17" t="s">
        <v>3921</v>
      </c>
      <c r="B1445" s="17" t="s">
        <v>45</v>
      </c>
      <c r="C1445" s="17">
        <v>2025</v>
      </c>
      <c r="D1445" s="17" t="str">
        <f t="array" ref="D1445">_xlfn.SWITCH(E1445,"Jatikalen","35.18.20","Kertosono", "35.18.08","Lengkong","35.18.19","Loceret","35.18.04","Tanjunganom","35.18.11","Wilangan","35.18.15")</f>
        <v>35.18.19</v>
      </c>
      <c r="E1445" s="16" t="s">
        <v>64</v>
      </c>
      <c r="F1445" s="17" t="s">
        <v>3377</v>
      </c>
      <c r="G1445" s="17" t="s">
        <v>3378</v>
      </c>
      <c r="H1445" s="16" t="s">
        <v>31</v>
      </c>
      <c r="I1445" s="16">
        <v>0</v>
      </c>
      <c r="J1445" s="20">
        <v>1</v>
      </c>
      <c r="K1445" s="16">
        <v>1</v>
      </c>
      <c r="L1445" s="18">
        <v>5000000</v>
      </c>
      <c r="M1445" s="17" t="s">
        <v>3379</v>
      </c>
      <c r="N1445" s="182">
        <v>300</v>
      </c>
      <c r="O1445" s="16" t="s">
        <v>3380</v>
      </c>
      <c r="P1445" s="182">
        <v>6000000</v>
      </c>
      <c r="Q1445" s="16" t="s">
        <v>2434</v>
      </c>
      <c r="R1445" s="53">
        <v>26</v>
      </c>
      <c r="S1445" s="16" t="s">
        <v>35</v>
      </c>
      <c r="T1445" s="182">
        <v>262500</v>
      </c>
      <c r="U1445" s="16"/>
      <c r="V1445" s="16" t="s">
        <v>3356</v>
      </c>
      <c r="W1445" s="16">
        <v>4</v>
      </c>
      <c r="X1445" s="16" t="s">
        <v>3357</v>
      </c>
      <c r="Y1445" s="21" t="s">
        <v>3005</v>
      </c>
      <c r="Z1445" s="16"/>
      <c r="AA1445" s="16"/>
      <c r="AB1445" s="16"/>
      <c r="AC1445" s="16"/>
      <c r="AF1445" s="208"/>
    </row>
    <row r="1446" spans="1:32" s="43" customFormat="1" ht="20" x14ac:dyDescent="0.35">
      <c r="A1446" s="17" t="s">
        <v>3921</v>
      </c>
      <c r="B1446" s="17" t="s">
        <v>45</v>
      </c>
      <c r="C1446" s="17">
        <v>2025</v>
      </c>
      <c r="D1446" s="17" t="str">
        <f t="array" ref="D1446">_xlfn.SWITCH(E1446,"Jatikalen","35.18.20","Kertosono", "35.18.08","Lengkong","35.18.19","Loceret","35.18.04","Tanjunganom","35.18.11","Wilangan","35.18.15")</f>
        <v>35.18.19</v>
      </c>
      <c r="E1446" s="16" t="s">
        <v>64</v>
      </c>
      <c r="F1446" s="17" t="s">
        <v>3381</v>
      </c>
      <c r="G1446" s="17" t="s">
        <v>3382</v>
      </c>
      <c r="H1446" s="16" t="s">
        <v>31</v>
      </c>
      <c r="I1446" s="16">
        <v>1</v>
      </c>
      <c r="J1446" s="16">
        <v>0</v>
      </c>
      <c r="K1446" s="16">
        <v>1</v>
      </c>
      <c r="L1446" s="18">
        <v>3000000</v>
      </c>
      <c r="M1446" s="17" t="s">
        <v>1120</v>
      </c>
      <c r="N1446" s="182">
        <v>6000</v>
      </c>
      <c r="O1446" s="16" t="s">
        <v>3383</v>
      </c>
      <c r="P1446" s="182">
        <v>9000000</v>
      </c>
      <c r="Q1446" s="16" t="s">
        <v>173</v>
      </c>
      <c r="R1446" s="53">
        <v>600</v>
      </c>
      <c r="S1446" s="16" t="s">
        <v>35</v>
      </c>
      <c r="T1446" s="182">
        <v>7500000</v>
      </c>
      <c r="U1446" s="16"/>
      <c r="V1446" s="16" t="s">
        <v>57</v>
      </c>
      <c r="W1446" s="16">
        <v>30</v>
      </c>
      <c r="X1446" s="16" t="s">
        <v>3384</v>
      </c>
      <c r="Y1446" s="21" t="s">
        <v>3005</v>
      </c>
      <c r="Z1446" s="16"/>
      <c r="AA1446" s="16"/>
      <c r="AB1446" s="16"/>
      <c r="AC1446" s="16"/>
      <c r="AF1446" s="208"/>
    </row>
    <row r="1447" spans="1:32" s="43" customFormat="1" ht="20" x14ac:dyDescent="0.35">
      <c r="A1447" s="17" t="s">
        <v>3921</v>
      </c>
      <c r="B1447" s="17" t="s">
        <v>45</v>
      </c>
      <c r="C1447" s="17">
        <v>2025</v>
      </c>
      <c r="D1447" s="17" t="str">
        <f t="array" ref="D1447">_xlfn.SWITCH(E1447,"Jatikalen","35.18.20","Kertosono", "35.18.08","Lengkong","35.18.19","Loceret","35.18.04","Tanjunganom","35.18.11","Wilangan","35.18.15")</f>
        <v>35.18.19</v>
      </c>
      <c r="E1447" s="16" t="s">
        <v>64</v>
      </c>
      <c r="F1447" s="17" t="s">
        <v>3385</v>
      </c>
      <c r="G1447" s="17" t="s">
        <v>3386</v>
      </c>
      <c r="H1447" s="16" t="s">
        <v>31</v>
      </c>
      <c r="I1447" s="16">
        <v>0</v>
      </c>
      <c r="J1447" s="16">
        <v>1</v>
      </c>
      <c r="K1447" s="16">
        <v>1</v>
      </c>
      <c r="L1447" s="18"/>
      <c r="M1447" s="17" t="s">
        <v>3387</v>
      </c>
      <c r="N1447" s="182">
        <v>30</v>
      </c>
      <c r="O1447" s="16" t="s">
        <v>35</v>
      </c>
      <c r="P1447" s="182">
        <v>1050000</v>
      </c>
      <c r="Q1447" s="16" t="s">
        <v>159</v>
      </c>
      <c r="R1447" s="53">
        <v>30</v>
      </c>
      <c r="S1447" s="16" t="s">
        <v>35</v>
      </c>
      <c r="T1447" s="182">
        <v>150000</v>
      </c>
      <c r="U1447" s="16"/>
      <c r="V1447" s="16" t="s">
        <v>3356</v>
      </c>
      <c r="W1447" s="16">
        <v>3</v>
      </c>
      <c r="X1447" s="16" t="s">
        <v>3357</v>
      </c>
      <c r="Y1447" s="21" t="s">
        <v>3005</v>
      </c>
      <c r="Z1447" s="16"/>
      <c r="AA1447" s="16"/>
      <c r="AB1447" s="16"/>
      <c r="AC1447" s="16"/>
      <c r="AF1447" s="208"/>
    </row>
    <row r="1448" spans="1:32" s="43" customFormat="1" ht="20" x14ac:dyDescent="0.35">
      <c r="A1448" s="17" t="s">
        <v>3921</v>
      </c>
      <c r="B1448" s="17" t="s">
        <v>45</v>
      </c>
      <c r="C1448" s="17">
        <v>2025</v>
      </c>
      <c r="D1448" s="17" t="str">
        <f t="array" ref="D1448">_xlfn.SWITCH(E1448,"Jatikalen","35.18.20","Kertosono", "35.18.08","Lengkong","35.18.19","Loceret","35.18.04","Tanjunganom","35.18.11","Wilangan","35.18.15")</f>
        <v>35.18.19</v>
      </c>
      <c r="E1448" s="16" t="s">
        <v>64</v>
      </c>
      <c r="F1448" s="17" t="s">
        <v>3388</v>
      </c>
      <c r="G1448" s="17" t="s">
        <v>3389</v>
      </c>
      <c r="H1448" s="16" t="s">
        <v>31</v>
      </c>
      <c r="I1448" s="16">
        <v>1</v>
      </c>
      <c r="J1448" s="16">
        <v>0</v>
      </c>
      <c r="K1448" s="16">
        <v>1</v>
      </c>
      <c r="L1448" s="18">
        <v>18000000</v>
      </c>
      <c r="M1448" s="17" t="s">
        <v>1120</v>
      </c>
      <c r="N1448" s="182">
        <v>9600</v>
      </c>
      <c r="O1448" s="16" t="s">
        <v>3390</v>
      </c>
      <c r="P1448" s="182">
        <v>19200000</v>
      </c>
      <c r="Q1448" s="16" t="s">
        <v>173</v>
      </c>
      <c r="R1448" s="53">
        <v>18</v>
      </c>
      <c r="S1448" s="16" t="s">
        <v>3391</v>
      </c>
      <c r="T1448" s="182">
        <v>18000000</v>
      </c>
      <c r="U1448" s="16"/>
      <c r="V1448" s="16" t="s">
        <v>57</v>
      </c>
      <c r="W1448" s="16"/>
      <c r="X1448" s="16"/>
      <c r="Y1448" s="21" t="s">
        <v>3005</v>
      </c>
      <c r="Z1448" s="16"/>
      <c r="AA1448" s="16"/>
      <c r="AB1448" s="16"/>
      <c r="AC1448" s="16"/>
      <c r="AF1448" s="208"/>
    </row>
    <row r="1449" spans="1:32" s="43" customFormat="1" ht="20" x14ac:dyDescent="0.35">
      <c r="A1449" s="17" t="s">
        <v>3921</v>
      </c>
      <c r="B1449" s="17" t="s">
        <v>45</v>
      </c>
      <c r="C1449" s="17">
        <v>2025</v>
      </c>
      <c r="D1449" s="17" t="str">
        <f t="array" ref="D1449">_xlfn.SWITCH(E1449,"Jatikalen","35.18.20","Kertosono", "35.18.08","Lengkong","35.18.19","Loceret","35.18.04","Tanjunganom","35.18.11","Wilangan","35.18.15")</f>
        <v>35.18.19</v>
      </c>
      <c r="E1449" s="16" t="s">
        <v>64</v>
      </c>
      <c r="F1449" s="17" t="s">
        <v>3392</v>
      </c>
      <c r="G1449" s="17" t="s">
        <v>3393</v>
      </c>
      <c r="H1449" s="16" t="s">
        <v>31</v>
      </c>
      <c r="I1449" s="16">
        <v>1</v>
      </c>
      <c r="J1449" s="16">
        <v>0</v>
      </c>
      <c r="K1449" s="16">
        <v>1</v>
      </c>
      <c r="L1449" s="18">
        <v>3500000</v>
      </c>
      <c r="M1449" s="17" t="s">
        <v>1120</v>
      </c>
      <c r="N1449" s="35">
        <v>800</v>
      </c>
      <c r="O1449" s="16" t="s">
        <v>3390</v>
      </c>
      <c r="P1449" s="18">
        <v>1380000</v>
      </c>
      <c r="Q1449" s="16" t="s">
        <v>173</v>
      </c>
      <c r="R1449" s="182">
        <v>3</v>
      </c>
      <c r="S1449" s="16" t="s">
        <v>3391</v>
      </c>
      <c r="T1449" s="53">
        <v>3600000</v>
      </c>
      <c r="U1449" s="16"/>
      <c r="V1449" s="16" t="s">
        <v>57</v>
      </c>
      <c r="W1449" s="16">
        <v>0.5</v>
      </c>
      <c r="X1449" s="16" t="s">
        <v>3394</v>
      </c>
      <c r="Y1449" s="21" t="s">
        <v>3005</v>
      </c>
      <c r="Z1449" s="16"/>
      <c r="AA1449" s="16"/>
      <c r="AB1449" s="16"/>
      <c r="AC1449" s="16"/>
      <c r="AF1449" s="208"/>
    </row>
    <row r="1450" spans="1:32" s="43" customFormat="1" ht="20" x14ac:dyDescent="0.35">
      <c r="A1450" s="17" t="s">
        <v>3921</v>
      </c>
      <c r="B1450" s="17" t="s">
        <v>45</v>
      </c>
      <c r="C1450" s="17">
        <v>2025</v>
      </c>
      <c r="D1450" s="17" t="str">
        <f t="array" ref="D1450">_xlfn.SWITCH(E1450,"Jatikalen","35.18.20","Kertosono", "35.18.08","Lengkong","35.18.19","Loceret","35.18.04","Tanjunganom","35.18.11","Wilangan","35.18.15")</f>
        <v>35.18.19</v>
      </c>
      <c r="E1450" s="16" t="s">
        <v>64</v>
      </c>
      <c r="F1450" s="17" t="s">
        <v>3395</v>
      </c>
      <c r="G1450" s="17" t="s">
        <v>3396</v>
      </c>
      <c r="H1450" s="16" t="s">
        <v>31</v>
      </c>
      <c r="I1450" s="16">
        <v>0</v>
      </c>
      <c r="J1450" s="16">
        <v>1</v>
      </c>
      <c r="K1450" s="16">
        <v>1</v>
      </c>
      <c r="L1450" s="18">
        <v>2370000</v>
      </c>
      <c r="M1450" s="17" t="s">
        <v>1478</v>
      </c>
      <c r="N1450" s="182">
        <v>50</v>
      </c>
      <c r="O1450" s="16" t="s">
        <v>35</v>
      </c>
      <c r="P1450" s="182">
        <v>3500000</v>
      </c>
      <c r="Q1450" s="16" t="s">
        <v>1608</v>
      </c>
      <c r="R1450" s="53">
        <v>18</v>
      </c>
      <c r="S1450" s="16" t="s">
        <v>3397</v>
      </c>
      <c r="T1450" s="182"/>
      <c r="U1450" s="16"/>
      <c r="V1450" s="16" t="s">
        <v>3356</v>
      </c>
      <c r="W1450" s="16">
        <v>6</v>
      </c>
      <c r="X1450" s="16" t="s">
        <v>3357</v>
      </c>
      <c r="Y1450" s="21" t="s">
        <v>3005</v>
      </c>
      <c r="Z1450" s="21" t="s">
        <v>3005</v>
      </c>
      <c r="AA1450" s="16"/>
      <c r="AB1450" s="16"/>
      <c r="AC1450" s="211">
        <v>1507220031233</v>
      </c>
      <c r="AF1450" s="208"/>
    </row>
    <row r="1451" spans="1:32" s="43" customFormat="1" x14ac:dyDescent="0.35">
      <c r="A1451" s="17" t="s">
        <v>3921</v>
      </c>
      <c r="B1451" s="17" t="s">
        <v>45</v>
      </c>
      <c r="C1451" s="17">
        <v>2025</v>
      </c>
      <c r="D1451" s="17" t="str">
        <f t="array" ref="D1451">_xlfn.SWITCH(E1451,"Jatikalen","35.18.20","Kertosono", "35.18.08","Lengkong","35.18.19","Loceret","35.18.04","Tanjunganom","35.18.11","Wilangan","35.18.15")</f>
        <v>35.18.19</v>
      </c>
      <c r="E1451" s="16" t="s">
        <v>64</v>
      </c>
      <c r="F1451" s="17" t="s">
        <v>3398</v>
      </c>
      <c r="G1451" s="17" t="s">
        <v>3399</v>
      </c>
      <c r="H1451" s="16" t="s">
        <v>31</v>
      </c>
      <c r="I1451" s="16">
        <v>0</v>
      </c>
      <c r="J1451" s="16">
        <v>1</v>
      </c>
      <c r="K1451" s="16">
        <v>1</v>
      </c>
      <c r="L1451" s="18">
        <v>4000000</v>
      </c>
      <c r="M1451" s="17" t="s">
        <v>3400</v>
      </c>
      <c r="N1451" s="182">
        <v>63</v>
      </c>
      <c r="O1451" s="16" t="s">
        <v>35</v>
      </c>
      <c r="P1451" s="182">
        <v>2264000</v>
      </c>
      <c r="Q1451" s="16" t="s">
        <v>3401</v>
      </c>
      <c r="R1451" s="53">
        <v>35</v>
      </c>
      <c r="S1451" s="16" t="s">
        <v>35</v>
      </c>
      <c r="T1451" s="182">
        <v>1050000</v>
      </c>
      <c r="U1451" s="16"/>
      <c r="V1451" s="16" t="s">
        <v>57</v>
      </c>
      <c r="W1451" s="16"/>
      <c r="X1451" s="16"/>
      <c r="Y1451" s="21" t="s">
        <v>3005</v>
      </c>
      <c r="Z1451" s="16"/>
      <c r="AA1451" s="16"/>
      <c r="AB1451" s="16"/>
      <c r="AC1451" s="16"/>
      <c r="AF1451" s="208"/>
    </row>
    <row r="1452" spans="1:32" s="43" customFormat="1" ht="30" x14ac:dyDescent="0.35">
      <c r="A1452" s="17" t="s">
        <v>3921</v>
      </c>
      <c r="B1452" s="17" t="s">
        <v>45</v>
      </c>
      <c r="C1452" s="17">
        <v>2025</v>
      </c>
      <c r="D1452" s="17" t="str">
        <f t="array" ref="D1452">_xlfn.SWITCH(E1452,"Jatikalen","35.18.20","Kertosono", "35.18.08","Lengkong","35.18.19","Loceret","35.18.04","Tanjunganom","35.18.11","Wilangan","35.18.15")</f>
        <v>35.18.19</v>
      </c>
      <c r="E1452" s="16" t="s">
        <v>64</v>
      </c>
      <c r="F1452" s="17" t="s">
        <v>3402</v>
      </c>
      <c r="G1452" s="17" t="s">
        <v>3403</v>
      </c>
      <c r="H1452" s="16" t="s">
        <v>31</v>
      </c>
      <c r="I1452" s="16">
        <v>3</v>
      </c>
      <c r="J1452" s="16">
        <v>0</v>
      </c>
      <c r="K1452" s="16">
        <v>3</v>
      </c>
      <c r="L1452" s="18">
        <v>10000000</v>
      </c>
      <c r="M1452" s="17" t="s">
        <v>172</v>
      </c>
      <c r="N1452" s="182">
        <v>15</v>
      </c>
      <c r="O1452" s="16" t="s">
        <v>3404</v>
      </c>
      <c r="P1452" s="182">
        <v>3300000</v>
      </c>
      <c r="Q1452" s="16" t="s">
        <v>173</v>
      </c>
      <c r="R1452" s="53">
        <v>2.5</v>
      </c>
      <c r="S1452" s="16" t="s">
        <v>3391</v>
      </c>
      <c r="T1452" s="182">
        <v>3000000</v>
      </c>
      <c r="U1452" s="16"/>
      <c r="V1452" s="16" t="s">
        <v>3405</v>
      </c>
      <c r="W1452" s="16"/>
      <c r="X1452" s="16"/>
      <c r="Y1452" s="21" t="s">
        <v>3005</v>
      </c>
      <c r="Z1452" s="16"/>
      <c r="AA1452" s="16"/>
      <c r="AB1452" s="16"/>
      <c r="AC1452" s="16"/>
      <c r="AF1452" s="208"/>
    </row>
    <row r="1453" spans="1:32" s="43" customFormat="1" ht="20" x14ac:dyDescent="0.35">
      <c r="A1453" s="17" t="s">
        <v>3921</v>
      </c>
      <c r="B1453" s="17" t="s">
        <v>45</v>
      </c>
      <c r="C1453" s="17">
        <v>2025</v>
      </c>
      <c r="D1453" s="17" t="str">
        <f t="array" ref="D1453">_xlfn.SWITCH(E1453,"Jatikalen","35.18.20","Kertosono", "35.18.08","Lengkong","35.18.19","Loceret","35.18.04","Tanjunganom","35.18.11","Wilangan","35.18.15")</f>
        <v>35.18.19</v>
      </c>
      <c r="E1453" s="16" t="s">
        <v>64</v>
      </c>
      <c r="F1453" s="17" t="s">
        <v>3406</v>
      </c>
      <c r="G1453" s="17" t="s">
        <v>3407</v>
      </c>
      <c r="H1453" s="16" t="s">
        <v>31</v>
      </c>
      <c r="I1453" s="16">
        <v>1</v>
      </c>
      <c r="J1453" s="16">
        <v>0</v>
      </c>
      <c r="K1453" s="16">
        <v>1</v>
      </c>
      <c r="L1453" s="18">
        <v>1220000</v>
      </c>
      <c r="M1453" s="17" t="s">
        <v>1665</v>
      </c>
      <c r="N1453" s="182">
        <v>90</v>
      </c>
      <c r="O1453" s="16" t="s">
        <v>1194</v>
      </c>
      <c r="P1453" s="182">
        <v>420000</v>
      </c>
      <c r="Q1453" s="16" t="s">
        <v>173</v>
      </c>
      <c r="R1453" s="53">
        <v>3</v>
      </c>
      <c r="S1453" s="16" t="s">
        <v>3391</v>
      </c>
      <c r="T1453" s="182">
        <v>1250000</v>
      </c>
      <c r="U1453" s="16"/>
      <c r="V1453" s="16" t="s">
        <v>57</v>
      </c>
      <c r="W1453" s="16">
        <v>3</v>
      </c>
      <c r="X1453" s="16" t="s">
        <v>1978</v>
      </c>
      <c r="Y1453" s="21" t="s">
        <v>3005</v>
      </c>
      <c r="Z1453" s="16"/>
      <c r="AA1453" s="16"/>
      <c r="AB1453" s="16"/>
      <c r="AC1453" s="16"/>
      <c r="AF1453" s="208"/>
    </row>
    <row r="1454" spans="1:32" s="43" customFormat="1" ht="20" x14ac:dyDescent="0.35">
      <c r="A1454" s="17" t="s">
        <v>3921</v>
      </c>
      <c r="B1454" s="17" t="s">
        <v>45</v>
      </c>
      <c r="C1454" s="17">
        <v>2025</v>
      </c>
      <c r="D1454" s="17" t="str">
        <f t="array" ref="D1454">_xlfn.SWITCH(E1454,"Jatikalen","35.18.20","Kertosono", "35.18.08","Lengkong","35.18.19","Loceret","35.18.04","Tanjunganom","35.18.11","Wilangan","35.18.15")</f>
        <v>35.18.19</v>
      </c>
      <c r="E1454" s="16" t="s">
        <v>64</v>
      </c>
      <c r="F1454" s="17" t="s">
        <v>3408</v>
      </c>
      <c r="G1454" s="17" t="s">
        <v>1478</v>
      </c>
      <c r="H1454" s="16" t="s">
        <v>31</v>
      </c>
      <c r="I1454" s="16">
        <v>0</v>
      </c>
      <c r="J1454" s="16">
        <v>1</v>
      </c>
      <c r="K1454" s="16">
        <v>1</v>
      </c>
      <c r="L1454" s="18">
        <v>200000</v>
      </c>
      <c r="M1454" s="17" t="s">
        <v>3409</v>
      </c>
      <c r="N1454" s="182"/>
      <c r="O1454" s="16"/>
      <c r="P1454" s="182">
        <v>5000000</v>
      </c>
      <c r="Q1454" s="16"/>
      <c r="R1454" s="53"/>
      <c r="S1454" s="16"/>
      <c r="T1454" s="182"/>
      <c r="U1454" s="16"/>
      <c r="V1454" s="16" t="s">
        <v>57</v>
      </c>
      <c r="W1454" s="16"/>
      <c r="X1454" s="16"/>
      <c r="Y1454" s="21" t="s">
        <v>3005</v>
      </c>
      <c r="Z1454" s="16"/>
      <c r="AA1454" s="16"/>
      <c r="AB1454" s="16"/>
      <c r="AC1454" s="16"/>
      <c r="AF1454" s="208"/>
    </row>
    <row r="1455" spans="1:32" s="43" customFormat="1" ht="20" x14ac:dyDescent="0.35">
      <c r="A1455" s="17" t="s">
        <v>3921</v>
      </c>
      <c r="B1455" s="17" t="s">
        <v>45</v>
      </c>
      <c r="C1455" s="17">
        <v>2025</v>
      </c>
      <c r="D1455" s="17" t="str">
        <f t="array" ref="D1455">_xlfn.SWITCH(E1455,"Jatikalen","35.18.20","Kertosono", "35.18.08","Lengkong","35.18.19","Loceret","35.18.04","Tanjunganom","35.18.11","Wilangan","35.18.15")</f>
        <v>35.18.20</v>
      </c>
      <c r="E1455" s="16" t="s">
        <v>1083</v>
      </c>
      <c r="F1455" s="17" t="s">
        <v>3410</v>
      </c>
      <c r="G1455" s="17" t="s">
        <v>3411</v>
      </c>
      <c r="H1455" s="16" t="s">
        <v>31</v>
      </c>
      <c r="I1455" s="16">
        <v>0</v>
      </c>
      <c r="J1455" s="16">
        <v>1</v>
      </c>
      <c r="K1455" s="16">
        <v>1</v>
      </c>
      <c r="L1455" s="18">
        <v>1000000</v>
      </c>
      <c r="M1455" s="17" t="s">
        <v>2464</v>
      </c>
      <c r="N1455" s="182">
        <v>400</v>
      </c>
      <c r="O1455" s="16" t="s">
        <v>1420</v>
      </c>
      <c r="P1455" s="182">
        <v>2000000</v>
      </c>
      <c r="Q1455" s="16" t="s">
        <v>1963</v>
      </c>
      <c r="R1455" s="53"/>
      <c r="S1455" s="16"/>
      <c r="T1455" s="182">
        <v>1000000</v>
      </c>
      <c r="U1455" s="16"/>
      <c r="V1455" s="16" t="s">
        <v>3356</v>
      </c>
      <c r="W1455" s="16">
        <v>4</v>
      </c>
      <c r="X1455" s="16" t="s">
        <v>3357</v>
      </c>
      <c r="Y1455" s="21" t="s">
        <v>3005</v>
      </c>
      <c r="Z1455" s="16"/>
      <c r="AA1455" s="16"/>
      <c r="AB1455" s="16"/>
      <c r="AC1455" s="16"/>
      <c r="AF1455" s="208"/>
    </row>
    <row r="1456" spans="1:32" s="43" customFormat="1" ht="20" x14ac:dyDescent="0.35">
      <c r="A1456" s="17" t="s">
        <v>3921</v>
      </c>
      <c r="B1456" s="17" t="s">
        <v>45</v>
      </c>
      <c r="C1456" s="17">
        <v>2025</v>
      </c>
      <c r="D1456" s="17" t="str">
        <f t="array" ref="D1456">_xlfn.SWITCH(E1456,"Jatikalen","35.18.20","Kertosono", "35.18.08","Lengkong","35.18.19","Loceret","35.18.04","Tanjunganom","35.18.11","Wilangan","35.18.15")</f>
        <v>35.18.20</v>
      </c>
      <c r="E1456" s="16" t="s">
        <v>1083</v>
      </c>
      <c r="F1456" s="17" t="s">
        <v>3412</v>
      </c>
      <c r="G1456" s="17" t="s">
        <v>3413</v>
      </c>
      <c r="H1456" s="16" t="s">
        <v>31</v>
      </c>
      <c r="I1456" s="16">
        <v>0</v>
      </c>
      <c r="J1456" s="16">
        <v>1</v>
      </c>
      <c r="K1456" s="16">
        <v>1</v>
      </c>
      <c r="L1456" s="18">
        <v>1500000</v>
      </c>
      <c r="M1456" s="17" t="s">
        <v>1120</v>
      </c>
      <c r="N1456" s="182">
        <v>150</v>
      </c>
      <c r="O1456" s="16" t="s">
        <v>35</v>
      </c>
      <c r="P1456" s="182">
        <v>2100000</v>
      </c>
      <c r="Q1456" s="16" t="s">
        <v>1642</v>
      </c>
      <c r="R1456" s="53">
        <v>150</v>
      </c>
      <c r="S1456" s="16" t="s">
        <v>35</v>
      </c>
      <c r="T1456" s="182">
        <v>1500000</v>
      </c>
      <c r="U1456" s="16"/>
      <c r="V1456" s="16" t="s">
        <v>3356</v>
      </c>
      <c r="W1456" s="16">
        <v>10</v>
      </c>
      <c r="X1456" s="16" t="s">
        <v>3357</v>
      </c>
      <c r="Y1456" s="21" t="s">
        <v>3005</v>
      </c>
      <c r="Z1456" s="16"/>
      <c r="AA1456" s="16"/>
      <c r="AB1456" s="16"/>
      <c r="AC1456" s="16"/>
      <c r="AF1456" s="208"/>
    </row>
    <row r="1457" spans="1:32" s="43" customFormat="1" ht="20" x14ac:dyDescent="0.35">
      <c r="A1457" s="17" t="s">
        <v>3921</v>
      </c>
      <c r="B1457" s="17" t="s">
        <v>45</v>
      </c>
      <c r="C1457" s="17">
        <v>2025</v>
      </c>
      <c r="D1457" s="17" t="str">
        <f t="array" ref="D1457">_xlfn.SWITCH(E1457,"Jatikalen","35.18.20","Kertosono", "35.18.08","Lengkong","35.18.19","Loceret","35.18.04","Tanjunganom","35.18.11","Wilangan","35.18.15")</f>
        <v>35.18.20</v>
      </c>
      <c r="E1457" s="16" t="s">
        <v>1083</v>
      </c>
      <c r="F1457" s="17" t="s">
        <v>3414</v>
      </c>
      <c r="G1457" s="17" t="s">
        <v>3415</v>
      </c>
      <c r="H1457" s="16" t="s">
        <v>31</v>
      </c>
      <c r="I1457" s="16">
        <v>1</v>
      </c>
      <c r="J1457" s="16">
        <v>0</v>
      </c>
      <c r="K1457" s="16">
        <v>1</v>
      </c>
      <c r="L1457" s="18">
        <v>800000</v>
      </c>
      <c r="M1457" s="17" t="s">
        <v>3416</v>
      </c>
      <c r="N1457" s="182">
        <v>2850</v>
      </c>
      <c r="O1457" s="16" t="s">
        <v>2521</v>
      </c>
      <c r="P1457" s="182">
        <v>1900000</v>
      </c>
      <c r="Q1457" s="16" t="s">
        <v>3417</v>
      </c>
      <c r="R1457" s="53"/>
      <c r="S1457" s="16"/>
      <c r="T1457" s="182">
        <v>750000</v>
      </c>
      <c r="U1457" s="16"/>
      <c r="V1457" s="16" t="s">
        <v>57</v>
      </c>
      <c r="W1457" s="16"/>
      <c r="X1457" s="16"/>
      <c r="Y1457" s="21" t="s">
        <v>3005</v>
      </c>
      <c r="Z1457" s="16"/>
      <c r="AA1457" s="16"/>
      <c r="AB1457" s="16"/>
      <c r="AC1457" s="16"/>
      <c r="AF1457" s="208"/>
    </row>
    <row r="1458" spans="1:32" s="43" customFormat="1" ht="20" x14ac:dyDescent="0.35">
      <c r="A1458" s="17" t="s">
        <v>3921</v>
      </c>
      <c r="B1458" s="17" t="s">
        <v>45</v>
      </c>
      <c r="C1458" s="17">
        <v>2025</v>
      </c>
      <c r="D1458" s="17" t="str">
        <f t="array" ref="D1458">_xlfn.SWITCH(E1458,"Jatikalen","35.18.20","Kertosono", "35.18.08","Lengkong","35.18.19","Loceret","35.18.04","Tanjunganom","35.18.11","Wilangan","35.18.15")</f>
        <v>35.18.20</v>
      </c>
      <c r="E1458" s="16" t="s">
        <v>1083</v>
      </c>
      <c r="F1458" s="17" t="s">
        <v>3418</v>
      </c>
      <c r="G1458" s="17" t="s">
        <v>3419</v>
      </c>
      <c r="H1458" s="16" t="s">
        <v>31</v>
      </c>
      <c r="I1458" s="16">
        <v>1</v>
      </c>
      <c r="J1458" s="16">
        <v>0</v>
      </c>
      <c r="K1458" s="16">
        <v>1</v>
      </c>
      <c r="L1458" s="18">
        <v>700000</v>
      </c>
      <c r="M1458" s="17" t="s">
        <v>172</v>
      </c>
      <c r="N1458" s="182">
        <v>128</v>
      </c>
      <c r="O1458" s="16" t="s">
        <v>2521</v>
      </c>
      <c r="P1458" s="182"/>
      <c r="Q1458" s="16" t="s">
        <v>173</v>
      </c>
      <c r="R1458" s="53"/>
      <c r="S1458" s="16"/>
      <c r="T1458" s="182">
        <v>600000</v>
      </c>
      <c r="U1458" s="16"/>
      <c r="V1458" s="16" t="s">
        <v>57</v>
      </c>
      <c r="W1458" s="16">
        <v>1</v>
      </c>
      <c r="X1458" s="16" t="s">
        <v>3420</v>
      </c>
      <c r="Y1458" s="21" t="s">
        <v>3005</v>
      </c>
      <c r="Z1458" s="16"/>
      <c r="AA1458" s="16"/>
      <c r="AB1458" s="16"/>
      <c r="AC1458" s="16"/>
      <c r="AF1458" s="208"/>
    </row>
    <row r="1459" spans="1:32" s="43" customFormat="1" ht="20" x14ac:dyDescent="0.35">
      <c r="A1459" s="17" t="s">
        <v>3921</v>
      </c>
      <c r="B1459" s="17" t="s">
        <v>45</v>
      </c>
      <c r="C1459" s="17">
        <v>2025</v>
      </c>
      <c r="D1459" s="17" t="str">
        <f t="array" ref="D1459">_xlfn.SWITCH(E1459,"Jatikalen","35.18.20","Kertosono", "35.18.08","Lengkong","35.18.19","Loceret","35.18.04","Tanjunganom","35.18.11","Wilangan","35.18.15")</f>
        <v>35.18.20</v>
      </c>
      <c r="E1459" s="16" t="s">
        <v>1083</v>
      </c>
      <c r="F1459" s="17" t="s">
        <v>3421</v>
      </c>
      <c r="G1459" s="17" t="s">
        <v>3422</v>
      </c>
      <c r="H1459" s="16" t="s">
        <v>31</v>
      </c>
      <c r="I1459" s="16">
        <v>2</v>
      </c>
      <c r="J1459" s="16">
        <v>0</v>
      </c>
      <c r="K1459" s="16">
        <v>2</v>
      </c>
      <c r="L1459" s="18">
        <v>2000000</v>
      </c>
      <c r="M1459" s="17" t="s">
        <v>2464</v>
      </c>
      <c r="N1459" s="182">
        <v>1000</v>
      </c>
      <c r="O1459" s="16" t="s">
        <v>1420</v>
      </c>
      <c r="P1459" s="182">
        <v>4000000</v>
      </c>
      <c r="Q1459" s="16" t="s">
        <v>1963</v>
      </c>
      <c r="R1459" s="53"/>
      <c r="S1459" s="16"/>
      <c r="T1459" s="182">
        <v>1000000</v>
      </c>
      <c r="U1459" s="16"/>
      <c r="V1459" s="16"/>
      <c r="W1459" s="16"/>
      <c r="X1459" s="16"/>
      <c r="Y1459" s="21" t="s">
        <v>3005</v>
      </c>
      <c r="Z1459" s="16"/>
      <c r="AA1459" s="16"/>
      <c r="AB1459" s="16"/>
      <c r="AC1459" s="16"/>
      <c r="AF1459" s="208"/>
    </row>
    <row r="1460" spans="1:32" s="43" customFormat="1" ht="20" x14ac:dyDescent="0.35">
      <c r="A1460" s="17" t="s">
        <v>3921</v>
      </c>
      <c r="B1460" s="17" t="s">
        <v>45</v>
      </c>
      <c r="C1460" s="17">
        <v>2025</v>
      </c>
      <c r="D1460" s="17" t="str">
        <f t="array" ref="D1460">_xlfn.SWITCH(E1460,"Jatikalen","35.18.20","Kertosono", "35.18.08","Lengkong","35.18.19","Loceret","35.18.04","Tanjunganom","35.18.11","Wilangan","35.18.15")</f>
        <v>35.18.20</v>
      </c>
      <c r="E1460" s="16" t="s">
        <v>1083</v>
      </c>
      <c r="F1460" s="17" t="s">
        <v>3423</v>
      </c>
      <c r="G1460" s="17" t="s">
        <v>3424</v>
      </c>
      <c r="H1460" s="16" t="s">
        <v>31</v>
      </c>
      <c r="I1460" s="16">
        <v>0</v>
      </c>
      <c r="J1460" s="16">
        <v>1</v>
      </c>
      <c r="K1460" s="16">
        <v>1</v>
      </c>
      <c r="L1460" s="18">
        <v>2000000</v>
      </c>
      <c r="M1460" s="195" t="s">
        <v>3425</v>
      </c>
      <c r="N1460" s="14">
        <v>2999</v>
      </c>
      <c r="O1460" s="10" t="s">
        <v>1130</v>
      </c>
      <c r="P1460" s="14">
        <v>4499025</v>
      </c>
      <c r="Q1460" s="16" t="s">
        <v>2434</v>
      </c>
      <c r="R1460" s="182">
        <v>1</v>
      </c>
      <c r="S1460" s="16" t="s">
        <v>3391</v>
      </c>
      <c r="T1460" s="53">
        <v>940000</v>
      </c>
      <c r="U1460" s="16"/>
      <c r="V1460" s="16" t="s">
        <v>3356</v>
      </c>
      <c r="W1460" s="16">
        <v>20</v>
      </c>
      <c r="X1460" s="16" t="s">
        <v>3014</v>
      </c>
      <c r="Y1460" s="21" t="s">
        <v>3005</v>
      </c>
      <c r="Z1460" s="16"/>
      <c r="AA1460" s="16"/>
      <c r="AB1460" s="16"/>
      <c r="AC1460" s="16"/>
      <c r="AF1460" s="208"/>
    </row>
    <row r="1461" spans="1:32" s="32" customFormat="1" x14ac:dyDescent="0.35">
      <c r="A1461" s="17" t="s">
        <v>3921</v>
      </c>
      <c r="B1461" s="17" t="s">
        <v>45</v>
      </c>
      <c r="C1461" s="17">
        <v>2025</v>
      </c>
      <c r="D1461" s="17" t="str">
        <f t="array" ref="D1461">_xlfn.SWITCH(E1461,"Jatikalen","35.18.20","Kertosono", "35.18.08","Lengkong","35.18.19","Loceret","35.18.04","Tanjunganom","35.18.11","Wilangan","35.18.15")</f>
        <v>35.18.20</v>
      </c>
      <c r="E1461" s="16" t="s">
        <v>1083</v>
      </c>
      <c r="F1461" s="195" t="s">
        <v>3426</v>
      </c>
      <c r="G1461" s="195" t="s">
        <v>3427</v>
      </c>
      <c r="H1461" s="16" t="s">
        <v>31</v>
      </c>
      <c r="I1461" s="16">
        <v>1</v>
      </c>
      <c r="J1461" s="16">
        <v>0</v>
      </c>
      <c r="K1461" s="10">
        <v>1</v>
      </c>
      <c r="L1461" s="13">
        <v>5530000</v>
      </c>
      <c r="M1461" s="195" t="s">
        <v>1665</v>
      </c>
      <c r="N1461" s="14">
        <v>450</v>
      </c>
      <c r="O1461" s="10" t="s">
        <v>35</v>
      </c>
      <c r="P1461" s="14">
        <v>7500000</v>
      </c>
      <c r="Q1461" s="10" t="s">
        <v>173</v>
      </c>
      <c r="R1461" s="209">
        <v>450</v>
      </c>
      <c r="S1461" s="10" t="s">
        <v>35</v>
      </c>
      <c r="T1461" s="14">
        <v>5400000</v>
      </c>
      <c r="U1461" s="10"/>
      <c r="V1461" s="10" t="s">
        <v>57</v>
      </c>
      <c r="W1461" s="10"/>
      <c r="X1461" s="10"/>
      <c r="Y1461" s="21" t="s">
        <v>3005</v>
      </c>
      <c r="Z1461" s="10"/>
      <c r="AA1461" s="10"/>
      <c r="AB1461" s="10"/>
      <c r="AC1461" s="10"/>
      <c r="AF1461" s="210"/>
    </row>
    <row r="1462" spans="1:32" s="32" customFormat="1" x14ac:dyDescent="0.35">
      <c r="A1462" s="17" t="s">
        <v>3921</v>
      </c>
      <c r="B1462" s="17" t="s">
        <v>45</v>
      </c>
      <c r="C1462" s="17">
        <v>2025</v>
      </c>
      <c r="D1462" s="17" t="str">
        <f t="array" ref="D1462">_xlfn.SWITCH(E1462,"Jatikalen","35.18.20","Kertosono", "35.18.08","Lengkong","35.18.19","Loceret","35.18.04","Tanjunganom","35.18.11","Wilangan","35.18.15")</f>
        <v>35.18.20</v>
      </c>
      <c r="E1462" s="16" t="s">
        <v>1083</v>
      </c>
      <c r="F1462" s="195" t="s">
        <v>3428</v>
      </c>
      <c r="G1462" s="195" t="s">
        <v>3429</v>
      </c>
      <c r="H1462" s="16" t="s">
        <v>31</v>
      </c>
      <c r="I1462" s="16">
        <v>1</v>
      </c>
      <c r="J1462" s="16">
        <v>0</v>
      </c>
      <c r="K1462" s="10">
        <v>1</v>
      </c>
      <c r="L1462" s="13">
        <v>10800000</v>
      </c>
      <c r="M1462" s="195" t="s">
        <v>1665</v>
      </c>
      <c r="N1462" s="14">
        <v>900</v>
      </c>
      <c r="O1462" s="10" t="s">
        <v>35</v>
      </c>
      <c r="P1462" s="14">
        <v>13800000</v>
      </c>
      <c r="Q1462" s="10" t="s">
        <v>173</v>
      </c>
      <c r="R1462" s="209">
        <v>900</v>
      </c>
      <c r="S1462" s="10" t="s">
        <v>35</v>
      </c>
      <c r="T1462" s="14">
        <v>10800000</v>
      </c>
      <c r="U1462" s="10"/>
      <c r="V1462" s="10" t="s">
        <v>57</v>
      </c>
      <c r="W1462" s="10">
        <v>10</v>
      </c>
      <c r="X1462" s="10" t="s">
        <v>3430</v>
      </c>
      <c r="Y1462" s="21" t="s">
        <v>3005</v>
      </c>
      <c r="Z1462" s="10"/>
      <c r="AA1462" s="10"/>
      <c r="AB1462" s="10"/>
      <c r="AC1462" s="10"/>
      <c r="AF1462" s="210"/>
    </row>
    <row r="1463" spans="1:32" s="32" customFormat="1" ht="20" x14ac:dyDescent="0.35">
      <c r="A1463" s="17" t="s">
        <v>3921</v>
      </c>
      <c r="B1463" s="17" t="s">
        <v>45</v>
      </c>
      <c r="C1463" s="17">
        <v>2025</v>
      </c>
      <c r="D1463" s="17" t="str">
        <f t="array" ref="D1463">_xlfn.SWITCH(E1463,"Jatikalen","35.18.20","Kertosono", "35.18.08","Lengkong","35.18.19","Loceret","35.18.04","Tanjunganom","35.18.11","Wilangan","35.18.15")</f>
        <v>35.18.20</v>
      </c>
      <c r="E1463" s="16" t="s">
        <v>1083</v>
      </c>
      <c r="F1463" s="17" t="s">
        <v>3431</v>
      </c>
      <c r="G1463" s="195" t="s">
        <v>3432</v>
      </c>
      <c r="H1463" s="16" t="s">
        <v>31</v>
      </c>
      <c r="I1463" s="16">
        <v>0</v>
      </c>
      <c r="J1463" s="16">
        <v>1</v>
      </c>
      <c r="K1463" s="10">
        <v>1</v>
      </c>
      <c r="L1463" s="13">
        <v>1500000</v>
      </c>
      <c r="M1463" s="195" t="s">
        <v>3433</v>
      </c>
      <c r="N1463" s="14">
        <v>60</v>
      </c>
      <c r="O1463" s="10" t="s">
        <v>3380</v>
      </c>
      <c r="P1463" s="14"/>
      <c r="Q1463" s="10" t="s">
        <v>2434</v>
      </c>
      <c r="R1463" s="209">
        <v>60</v>
      </c>
      <c r="S1463" s="10" t="s">
        <v>35</v>
      </c>
      <c r="T1463" s="14">
        <v>660000</v>
      </c>
      <c r="U1463" s="10"/>
      <c r="V1463" s="16" t="s">
        <v>3356</v>
      </c>
      <c r="W1463" s="10">
        <v>15</v>
      </c>
      <c r="X1463" s="10" t="s">
        <v>3357</v>
      </c>
      <c r="Y1463" s="21" t="s">
        <v>3005</v>
      </c>
      <c r="Z1463" s="10"/>
      <c r="AA1463" s="10"/>
      <c r="AB1463" s="10"/>
      <c r="AC1463" s="10"/>
      <c r="AF1463" s="210"/>
    </row>
    <row r="1464" spans="1:32" s="32" customFormat="1" ht="20" x14ac:dyDescent="0.35">
      <c r="A1464" s="17" t="s">
        <v>3921</v>
      </c>
      <c r="B1464" s="17" t="s">
        <v>45</v>
      </c>
      <c r="C1464" s="17">
        <v>2025</v>
      </c>
      <c r="D1464" s="17" t="str">
        <f t="array" ref="D1464">_xlfn.SWITCH(E1464,"Jatikalen","35.18.20","Kertosono", "35.18.08","Lengkong","35.18.19","Loceret","35.18.04","Tanjunganom","35.18.11","Wilangan","35.18.15")</f>
        <v>35.18.20</v>
      </c>
      <c r="E1464" s="16" t="s">
        <v>1083</v>
      </c>
      <c r="F1464" s="195" t="s">
        <v>3434</v>
      </c>
      <c r="G1464" s="195" t="s">
        <v>3435</v>
      </c>
      <c r="H1464" s="10"/>
      <c r="I1464" s="16">
        <v>0</v>
      </c>
      <c r="J1464" s="16">
        <v>1</v>
      </c>
      <c r="K1464" s="10">
        <v>1</v>
      </c>
      <c r="L1464" s="13"/>
      <c r="M1464" s="195"/>
      <c r="N1464" s="14"/>
      <c r="O1464" s="10"/>
      <c r="P1464" s="14"/>
      <c r="Q1464" s="10"/>
      <c r="R1464" s="209"/>
      <c r="S1464" s="10"/>
      <c r="T1464" s="14"/>
      <c r="U1464" s="10"/>
      <c r="V1464" s="16" t="s">
        <v>3356</v>
      </c>
      <c r="W1464" s="10">
        <v>20</v>
      </c>
      <c r="X1464" s="10" t="s">
        <v>3357</v>
      </c>
      <c r="Y1464" s="21" t="s">
        <v>3005</v>
      </c>
      <c r="Z1464" s="10"/>
      <c r="AA1464" s="10"/>
      <c r="AB1464" s="10"/>
      <c r="AC1464" s="10"/>
      <c r="AF1464" s="210"/>
    </row>
    <row r="1465" spans="1:32" s="173" customFormat="1" ht="30" x14ac:dyDescent="0.35">
      <c r="A1465" s="17" t="s">
        <v>3921</v>
      </c>
      <c r="B1465" s="17" t="s">
        <v>45</v>
      </c>
      <c r="C1465" s="17">
        <v>2025</v>
      </c>
      <c r="D1465" s="17" t="str">
        <f t="array" ref="D1465">_xlfn.SWITCH(E1465,"Bagor","35.18.14","Sukomoro",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5" s="212" t="s">
        <v>162</v>
      </c>
      <c r="F1465" s="115" t="s">
        <v>3436</v>
      </c>
      <c r="G1465" s="213" t="s">
        <v>3437</v>
      </c>
      <c r="H1465" s="214" t="s">
        <v>31</v>
      </c>
      <c r="I1465" s="215">
        <v>4</v>
      </c>
      <c r="J1465" s="215">
        <v>0</v>
      </c>
      <c r="K1465" s="212">
        <v>4</v>
      </c>
      <c r="L1465" s="216">
        <v>60000000</v>
      </c>
      <c r="M1465" s="115" t="s">
        <v>3438</v>
      </c>
      <c r="N1465" s="217">
        <v>950</v>
      </c>
      <c r="O1465" s="212" t="s">
        <v>3439</v>
      </c>
      <c r="P1465" s="218">
        <v>50000000</v>
      </c>
      <c r="Q1465" s="219" t="s">
        <v>3440</v>
      </c>
      <c r="R1465" s="220">
        <v>10</v>
      </c>
      <c r="S1465" s="221" t="s">
        <v>962</v>
      </c>
      <c r="T1465" s="222">
        <v>40000000</v>
      </c>
      <c r="U1465" s="212" t="s">
        <v>22</v>
      </c>
      <c r="V1465" s="212"/>
      <c r="W1465" s="212"/>
      <c r="X1465" s="212"/>
      <c r="Y1465" s="212"/>
      <c r="Z1465" s="212"/>
      <c r="AA1465" s="212"/>
      <c r="AB1465" s="212"/>
      <c r="AC1465" s="212"/>
      <c r="AD1465" s="32"/>
      <c r="AF1465" s="174"/>
    </row>
    <row r="1466" spans="1:32" s="173" customFormat="1" ht="30" x14ac:dyDescent="0.35">
      <c r="A1466" s="17" t="s">
        <v>3921</v>
      </c>
      <c r="B1466" s="17" t="s">
        <v>45</v>
      </c>
      <c r="C1466" s="17">
        <v>2025</v>
      </c>
      <c r="D1466" s="17" t="str">
        <f t="array" ref="D1466">_xlfn.SWITCH(E1466,"Bagor","35.18.14","Sukomoro",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6" s="212" t="s">
        <v>162</v>
      </c>
      <c r="F1466" s="223" t="s">
        <v>3436</v>
      </c>
      <c r="G1466" s="224" t="s">
        <v>3441</v>
      </c>
      <c r="H1466" s="214" t="s">
        <v>31</v>
      </c>
      <c r="I1466" s="215">
        <v>0</v>
      </c>
      <c r="J1466" s="215">
        <v>2</v>
      </c>
      <c r="K1466" s="212">
        <v>2</v>
      </c>
      <c r="L1466" s="216">
        <v>70000000</v>
      </c>
      <c r="M1466" s="115" t="s">
        <v>3442</v>
      </c>
      <c r="N1466" s="216">
        <v>500</v>
      </c>
      <c r="O1466" s="219" t="s">
        <v>3033</v>
      </c>
      <c r="P1466" s="218">
        <v>4000000</v>
      </c>
      <c r="Q1466" s="219" t="s">
        <v>159</v>
      </c>
      <c r="R1466" s="220">
        <v>50</v>
      </c>
      <c r="S1466" s="221" t="s">
        <v>422</v>
      </c>
      <c r="T1466" s="222">
        <v>1000000</v>
      </c>
      <c r="U1466" s="212" t="s">
        <v>22</v>
      </c>
      <c r="V1466" s="212" t="s">
        <v>3443</v>
      </c>
      <c r="W1466" s="212">
        <v>5</v>
      </c>
      <c r="X1466" s="212"/>
      <c r="Y1466" s="225"/>
      <c r="Z1466" s="10"/>
      <c r="AA1466" s="10"/>
      <c r="AB1466" s="10"/>
      <c r="AC1466" s="10"/>
      <c r="AD1466" s="32"/>
      <c r="AF1466" s="174"/>
    </row>
    <row r="1467" spans="1:32" ht="30" x14ac:dyDescent="0.2">
      <c r="A1467" s="17" t="s">
        <v>3921</v>
      </c>
      <c r="B1467" s="17" t="s">
        <v>45</v>
      </c>
      <c r="C1467" s="17">
        <v>2025</v>
      </c>
      <c r="D1467" s="17" t="str">
        <f t="array" ref="D1467">_xlfn.SWITCH(E1467,"Bagor","35.18.14","Sukomoro",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7" s="226" t="s">
        <v>162</v>
      </c>
      <c r="F1467" s="159" t="s">
        <v>3436</v>
      </c>
      <c r="G1467" s="224" t="s">
        <v>3444</v>
      </c>
      <c r="H1467" s="227" t="s">
        <v>31</v>
      </c>
      <c r="I1467" s="228">
        <v>2</v>
      </c>
      <c r="J1467" s="228">
        <v>6</v>
      </c>
      <c r="K1467" s="226">
        <v>8</v>
      </c>
      <c r="L1467" s="229">
        <v>40000000</v>
      </c>
      <c r="M1467" s="150" t="s">
        <v>3445</v>
      </c>
      <c r="N1467" s="230">
        <v>1000</v>
      </c>
      <c r="O1467" s="231" t="s">
        <v>3033</v>
      </c>
      <c r="P1467" s="232">
        <v>10000000</v>
      </c>
      <c r="Q1467" s="219" t="s">
        <v>159</v>
      </c>
      <c r="R1467" s="231">
        <v>500</v>
      </c>
      <c r="S1467" s="233" t="s">
        <v>422</v>
      </c>
      <c r="T1467" s="234">
        <v>4000000</v>
      </c>
      <c r="U1467" s="235" t="s">
        <v>22</v>
      </c>
      <c r="V1467" s="226" t="s">
        <v>3443</v>
      </c>
      <c r="W1467" s="226">
        <v>60</v>
      </c>
      <c r="X1467" s="226" t="s">
        <v>3014</v>
      </c>
      <c r="Y1467" s="236"/>
      <c r="Z1467" s="171"/>
      <c r="AA1467" s="171"/>
      <c r="AB1467" s="171"/>
      <c r="AC1467" s="171" t="s">
        <v>3446</v>
      </c>
    </row>
    <row r="1468" spans="1:32" ht="30" x14ac:dyDescent="0.2">
      <c r="A1468" s="17" t="s">
        <v>3921</v>
      </c>
      <c r="B1468" s="17" t="s">
        <v>45</v>
      </c>
      <c r="C1468" s="17">
        <v>2025</v>
      </c>
      <c r="D1468" s="17" t="str">
        <f t="array" ref="D1468">_xlfn.SWITCH(E1468,"Bagor","35.18.14","Sukomoro",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8" s="226" t="s">
        <v>162</v>
      </c>
      <c r="F1468" s="159" t="s">
        <v>3436</v>
      </c>
      <c r="G1468" s="224" t="s">
        <v>3447</v>
      </c>
      <c r="H1468" s="227" t="s">
        <v>31</v>
      </c>
      <c r="I1468" s="228">
        <v>0</v>
      </c>
      <c r="J1468" s="228">
        <v>6</v>
      </c>
      <c r="K1468" s="226">
        <v>6</v>
      </c>
      <c r="L1468" s="229">
        <v>60000000</v>
      </c>
      <c r="M1468" s="150" t="s">
        <v>3448</v>
      </c>
      <c r="N1468" s="230">
        <v>1000</v>
      </c>
      <c r="O1468" s="231" t="s">
        <v>3033</v>
      </c>
      <c r="P1468" s="232">
        <v>10000000</v>
      </c>
      <c r="Q1468" s="219" t="s">
        <v>159</v>
      </c>
      <c r="R1468" s="233">
        <v>1000</v>
      </c>
      <c r="S1468" s="234" t="s">
        <v>422</v>
      </c>
      <c r="T1468" s="235">
        <v>6000000</v>
      </c>
      <c r="U1468" s="235" t="s">
        <v>22</v>
      </c>
      <c r="V1468" s="226" t="s">
        <v>3449</v>
      </c>
      <c r="W1468" s="226">
        <v>1</v>
      </c>
      <c r="X1468" s="226" t="s">
        <v>3450</v>
      </c>
      <c r="Y1468" s="236"/>
      <c r="Z1468" s="12"/>
      <c r="AA1468" s="12"/>
      <c r="AB1468" s="12"/>
      <c r="AC1468" s="12"/>
    </row>
    <row r="1469" spans="1:32" ht="30" x14ac:dyDescent="0.2">
      <c r="A1469" s="17" t="s">
        <v>3921</v>
      </c>
      <c r="B1469" s="17" t="s">
        <v>45</v>
      </c>
      <c r="C1469" s="17">
        <v>2025</v>
      </c>
      <c r="D1469" s="17" t="str">
        <f t="array" ref="D1469">_xlfn.SWITCH(E1469,"Bagor","35.18.14","Sukomoro",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9" s="226" t="s">
        <v>162</v>
      </c>
      <c r="F1469" s="159" t="s">
        <v>3451</v>
      </c>
      <c r="G1469" s="219" t="s">
        <v>3452</v>
      </c>
      <c r="H1469" s="227" t="s">
        <v>31</v>
      </c>
      <c r="I1469" s="228">
        <v>1</v>
      </c>
      <c r="J1469" s="228">
        <v>0</v>
      </c>
      <c r="K1469" s="226">
        <v>1</v>
      </c>
      <c r="L1469" s="229">
        <v>15000000</v>
      </c>
      <c r="M1469" s="237" t="s">
        <v>3453</v>
      </c>
      <c r="N1469" s="230">
        <v>1500</v>
      </c>
      <c r="O1469" s="231" t="s">
        <v>3033</v>
      </c>
      <c r="P1469" s="232">
        <v>1000000</v>
      </c>
      <c r="Q1469" s="158" t="s">
        <v>1642</v>
      </c>
      <c r="R1469" s="230">
        <v>100</v>
      </c>
      <c r="S1469" s="234" t="s">
        <v>422</v>
      </c>
      <c r="T1469" s="235">
        <v>1000000</v>
      </c>
      <c r="U1469" s="226" t="s">
        <v>22</v>
      </c>
      <c r="V1469" s="226"/>
      <c r="W1469" s="226"/>
      <c r="X1469" s="226"/>
      <c r="Y1469" s="226"/>
      <c r="Z1469" s="226"/>
      <c r="AA1469" s="226"/>
      <c r="AB1469" s="226"/>
      <c r="AC1469" s="226"/>
    </row>
    <row r="1470" spans="1:32" ht="30" x14ac:dyDescent="0.2">
      <c r="A1470" s="17" t="s">
        <v>3921</v>
      </c>
      <c r="B1470" s="17" t="s">
        <v>45</v>
      </c>
      <c r="C1470" s="17">
        <v>2025</v>
      </c>
      <c r="D1470" s="17" t="str">
        <f t="array" ref="D1470">_xlfn.SWITCH(E1470,"Bagor","35.18.14","Sukomoro",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0" s="226" t="s">
        <v>162</v>
      </c>
      <c r="F1470" s="159" t="s">
        <v>3451</v>
      </c>
      <c r="G1470" s="219" t="s">
        <v>3454</v>
      </c>
      <c r="H1470" s="227" t="s">
        <v>31</v>
      </c>
      <c r="I1470" s="228">
        <v>1</v>
      </c>
      <c r="J1470" s="228">
        <v>0</v>
      </c>
      <c r="K1470" s="226">
        <v>1</v>
      </c>
      <c r="L1470" s="229">
        <v>30000000</v>
      </c>
      <c r="M1470" s="237" t="s">
        <v>3455</v>
      </c>
      <c r="N1470" s="230">
        <v>2500</v>
      </c>
      <c r="O1470" s="231" t="s">
        <v>3033</v>
      </c>
      <c r="P1470" s="232">
        <v>3000000</v>
      </c>
      <c r="Q1470" s="158" t="s">
        <v>1642</v>
      </c>
      <c r="R1470" s="230">
        <v>800</v>
      </c>
      <c r="S1470" s="234" t="s">
        <v>422</v>
      </c>
      <c r="T1470" s="235">
        <v>7000000</v>
      </c>
      <c r="U1470" s="226" t="s">
        <v>22</v>
      </c>
      <c r="V1470" s="226"/>
      <c r="W1470" s="226"/>
      <c r="X1470" s="226"/>
      <c r="Y1470" s="226"/>
      <c r="Z1470" s="226"/>
      <c r="AA1470" s="226"/>
      <c r="AB1470" s="226"/>
      <c r="AC1470" s="226"/>
    </row>
    <row r="1471" spans="1:32" ht="30" x14ac:dyDescent="0.2">
      <c r="A1471" s="17" t="s">
        <v>3921</v>
      </c>
      <c r="B1471" s="17" t="s">
        <v>45</v>
      </c>
      <c r="C1471" s="17">
        <v>2025</v>
      </c>
      <c r="D1471" s="17" t="str">
        <f t="array" ref="D1471">_xlfn.SWITCH(E1471,"Bagor","35.18.14","Sukomoro",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1" s="226" t="s">
        <v>162</v>
      </c>
      <c r="F1471" s="159" t="s">
        <v>3456</v>
      </c>
      <c r="G1471" s="219" t="s">
        <v>3457</v>
      </c>
      <c r="H1471" s="227" t="s">
        <v>31</v>
      </c>
      <c r="I1471" s="228">
        <v>0</v>
      </c>
      <c r="J1471" s="228">
        <v>1</v>
      </c>
      <c r="K1471" s="226">
        <v>1</v>
      </c>
      <c r="L1471" s="229">
        <v>45000000</v>
      </c>
      <c r="M1471" s="237" t="s">
        <v>3458</v>
      </c>
      <c r="N1471" s="230">
        <v>1000</v>
      </c>
      <c r="O1471" s="231" t="s">
        <v>3033</v>
      </c>
      <c r="P1471" s="232">
        <v>2000000</v>
      </c>
      <c r="Q1471" s="158" t="s">
        <v>1642</v>
      </c>
      <c r="R1471" s="230">
        <v>500</v>
      </c>
      <c r="S1471" s="234" t="s">
        <v>422</v>
      </c>
      <c r="T1471" s="235">
        <v>2000000</v>
      </c>
      <c r="U1471" s="226" t="s">
        <v>22</v>
      </c>
      <c r="V1471" s="226"/>
      <c r="W1471" s="226"/>
      <c r="X1471" s="226"/>
      <c r="Y1471" s="226"/>
      <c r="Z1471" s="226"/>
      <c r="AA1471" s="226"/>
      <c r="AB1471" s="226"/>
      <c r="AC1471" s="226"/>
    </row>
    <row r="1472" spans="1:32" ht="30" x14ac:dyDescent="0.2">
      <c r="A1472" s="17" t="s">
        <v>3921</v>
      </c>
      <c r="B1472" s="17" t="s">
        <v>45</v>
      </c>
      <c r="C1472" s="17">
        <v>2025</v>
      </c>
      <c r="D1472" s="17" t="str">
        <f t="array" ref="D1472">_xlfn.SWITCH(E1472,"Bagor","35.18.14","Sukomoro",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2" s="226" t="s">
        <v>162</v>
      </c>
      <c r="F1472" s="159" t="s">
        <v>3459</v>
      </c>
      <c r="G1472" s="219" t="s">
        <v>3460</v>
      </c>
      <c r="H1472" s="227" t="s">
        <v>31</v>
      </c>
      <c r="I1472" s="228">
        <v>0</v>
      </c>
      <c r="J1472" s="228">
        <v>2</v>
      </c>
      <c r="K1472" s="226">
        <v>2</v>
      </c>
      <c r="L1472" s="229">
        <v>45000000</v>
      </c>
      <c r="M1472" s="237" t="s">
        <v>3460</v>
      </c>
      <c r="N1472" s="230">
        <v>5000</v>
      </c>
      <c r="O1472" s="231" t="s">
        <v>3033</v>
      </c>
      <c r="P1472" s="232">
        <v>5000000</v>
      </c>
      <c r="Q1472" s="158" t="s">
        <v>3461</v>
      </c>
      <c r="R1472" s="230">
        <v>400</v>
      </c>
      <c r="S1472" s="234" t="s">
        <v>422</v>
      </c>
      <c r="T1472" s="235">
        <v>3500000</v>
      </c>
      <c r="U1472" s="226" t="s">
        <v>22</v>
      </c>
      <c r="V1472" s="226"/>
      <c r="W1472" s="226"/>
      <c r="X1472" s="226"/>
      <c r="Y1472" s="226"/>
      <c r="Z1472" s="226"/>
      <c r="AA1472" s="226"/>
      <c r="AB1472" s="226"/>
      <c r="AC1472" s="226"/>
    </row>
    <row r="1473" spans="1:84" ht="30" x14ac:dyDescent="0.2">
      <c r="A1473" s="17" t="s">
        <v>3921</v>
      </c>
      <c r="B1473" s="17" t="s">
        <v>45</v>
      </c>
      <c r="C1473" s="17">
        <v>2025</v>
      </c>
      <c r="D1473" s="17" t="str">
        <f t="array" ref="D1473">_xlfn.SWITCH(E1473,"Bagor","35.18.14","Sukomoro",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3" s="226" t="s">
        <v>162</v>
      </c>
      <c r="F1473" s="159" t="s">
        <v>3459</v>
      </c>
      <c r="G1473" s="219" t="s">
        <v>3462</v>
      </c>
      <c r="H1473" s="227" t="s">
        <v>31</v>
      </c>
      <c r="I1473" s="228">
        <v>0</v>
      </c>
      <c r="J1473" s="228">
        <v>1</v>
      </c>
      <c r="K1473" s="226">
        <v>1</v>
      </c>
      <c r="L1473" s="229">
        <v>35000000</v>
      </c>
      <c r="M1473" s="237" t="s">
        <v>3463</v>
      </c>
      <c r="N1473" s="230">
        <v>500</v>
      </c>
      <c r="O1473" s="231" t="s">
        <v>3033</v>
      </c>
      <c r="P1473" s="232">
        <v>2000000</v>
      </c>
      <c r="Q1473" s="158" t="s">
        <v>2434</v>
      </c>
      <c r="R1473" s="230">
        <v>500</v>
      </c>
      <c r="S1473" s="234" t="s">
        <v>422</v>
      </c>
      <c r="T1473" s="235">
        <v>2000000</v>
      </c>
      <c r="U1473" s="226" t="s">
        <v>22</v>
      </c>
      <c r="V1473" s="226" t="s">
        <v>3464</v>
      </c>
      <c r="W1473" s="226">
        <v>5</v>
      </c>
      <c r="X1473" s="226"/>
      <c r="Y1473" s="236"/>
      <c r="Z1473" s="226"/>
      <c r="AA1473" s="226"/>
      <c r="AB1473" s="226"/>
      <c r="AC1473" s="226"/>
    </row>
    <row r="1474" spans="1:84" ht="30" x14ac:dyDescent="0.2">
      <c r="A1474" s="17" t="s">
        <v>3921</v>
      </c>
      <c r="B1474" s="17" t="s">
        <v>45</v>
      </c>
      <c r="C1474" s="17">
        <v>2025</v>
      </c>
      <c r="D1474" s="17" t="str">
        <f t="array" ref="D1474">_xlfn.SWITCH(E1474,"Bagor","35.18.14","Sukomoro",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4" s="226" t="s">
        <v>162</v>
      </c>
      <c r="F1474" s="159" t="s">
        <v>3459</v>
      </c>
      <c r="G1474" s="219" t="s">
        <v>3465</v>
      </c>
      <c r="H1474" s="227" t="s">
        <v>31</v>
      </c>
      <c r="I1474" s="228">
        <v>0</v>
      </c>
      <c r="J1474" s="228">
        <v>1</v>
      </c>
      <c r="K1474" s="226">
        <v>1</v>
      </c>
      <c r="L1474" s="229">
        <v>40000000</v>
      </c>
      <c r="M1474" s="237" t="s">
        <v>3466</v>
      </c>
      <c r="N1474" s="230">
        <v>500</v>
      </c>
      <c r="O1474" s="231" t="s">
        <v>3044</v>
      </c>
      <c r="P1474" s="232">
        <v>3500000</v>
      </c>
      <c r="Q1474" s="158" t="s">
        <v>2434</v>
      </c>
      <c r="R1474" s="230">
        <v>300</v>
      </c>
      <c r="S1474" s="234" t="s">
        <v>422</v>
      </c>
      <c r="T1474" s="235">
        <v>1500000</v>
      </c>
      <c r="U1474" s="226" t="s">
        <v>22</v>
      </c>
      <c r="V1474" s="226"/>
      <c r="W1474" s="226"/>
      <c r="X1474" s="226"/>
      <c r="Y1474" s="226"/>
      <c r="Z1474" s="226"/>
      <c r="AA1474" s="226"/>
      <c r="AB1474" s="226"/>
      <c r="AC1474" s="226"/>
    </row>
    <row r="1475" spans="1:84" ht="30" x14ac:dyDescent="0.2">
      <c r="A1475" s="17" t="s">
        <v>3921</v>
      </c>
      <c r="B1475" s="17" t="s">
        <v>45</v>
      </c>
      <c r="C1475" s="17">
        <v>2025</v>
      </c>
      <c r="D1475" s="17" t="str">
        <f t="array" ref="D1475">_xlfn.SWITCH(E1475,"Bagor","35.18.14","Sukomoro",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5" s="226" t="s">
        <v>162</v>
      </c>
      <c r="F1475" s="159" t="s">
        <v>3459</v>
      </c>
      <c r="G1475" s="219" t="s">
        <v>3467</v>
      </c>
      <c r="H1475" s="227" t="s">
        <v>31</v>
      </c>
      <c r="I1475" s="228">
        <v>0</v>
      </c>
      <c r="J1475" s="228">
        <v>1</v>
      </c>
      <c r="K1475" s="226">
        <v>1</v>
      </c>
      <c r="L1475" s="229">
        <v>25000000</v>
      </c>
      <c r="M1475" s="237" t="s">
        <v>3466</v>
      </c>
      <c r="N1475" s="230">
        <v>500</v>
      </c>
      <c r="O1475" s="231" t="s">
        <v>3044</v>
      </c>
      <c r="P1475" s="232">
        <v>3500000</v>
      </c>
      <c r="Q1475" s="158" t="s">
        <v>2434</v>
      </c>
      <c r="R1475" s="230">
        <v>300</v>
      </c>
      <c r="S1475" s="234" t="s">
        <v>422</v>
      </c>
      <c r="T1475" s="235">
        <v>1500000</v>
      </c>
      <c r="U1475" s="226" t="s">
        <v>22</v>
      </c>
      <c r="V1475" s="226"/>
      <c r="W1475" s="226"/>
      <c r="X1475" s="226"/>
      <c r="Y1475" s="226"/>
      <c r="Z1475" s="226"/>
      <c r="AA1475" s="226"/>
      <c r="AB1475" s="226"/>
      <c r="AC1475" s="226"/>
    </row>
    <row r="1476" spans="1:84" ht="30" x14ac:dyDescent="0.2">
      <c r="A1476" s="17" t="s">
        <v>3921</v>
      </c>
      <c r="B1476" s="17" t="s">
        <v>45</v>
      </c>
      <c r="C1476" s="17">
        <v>2025</v>
      </c>
      <c r="D1476" s="17" t="str">
        <f t="array" ref="D1476">_xlfn.SWITCH(E1476,"Bagor","35.18.14","Sukomoro",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6" s="226" t="s">
        <v>162</v>
      </c>
      <c r="F1476" s="159" t="s">
        <v>3468</v>
      </c>
      <c r="G1476" s="219" t="s">
        <v>3469</v>
      </c>
      <c r="H1476" s="227" t="s">
        <v>31</v>
      </c>
      <c r="I1476" s="228">
        <v>0</v>
      </c>
      <c r="J1476" s="228">
        <v>1</v>
      </c>
      <c r="K1476" s="226">
        <v>1</v>
      </c>
      <c r="L1476" s="229">
        <v>30000000</v>
      </c>
      <c r="M1476" s="237" t="s">
        <v>3470</v>
      </c>
      <c r="N1476" s="230">
        <v>1000</v>
      </c>
      <c r="O1476" s="231" t="s">
        <v>3033</v>
      </c>
      <c r="P1476" s="232">
        <v>5000000</v>
      </c>
      <c r="Q1476" s="150" t="s">
        <v>1642</v>
      </c>
      <c r="R1476" s="230">
        <v>750</v>
      </c>
      <c r="S1476" s="234" t="s">
        <v>422</v>
      </c>
      <c r="T1476" s="235">
        <v>9000000</v>
      </c>
      <c r="U1476" s="226" t="s">
        <v>22</v>
      </c>
      <c r="V1476" s="226"/>
      <c r="W1476" s="226"/>
      <c r="X1476" s="226"/>
      <c r="Y1476" s="226"/>
      <c r="Z1476" s="226"/>
      <c r="AA1476" s="226"/>
      <c r="AB1476" s="226"/>
      <c r="AC1476" s="226"/>
    </row>
    <row r="1477" spans="1:84" s="3" customFormat="1" ht="30" x14ac:dyDescent="0.2">
      <c r="A1477" s="17" t="s">
        <v>3921</v>
      </c>
      <c r="B1477" s="17" t="s">
        <v>45</v>
      </c>
      <c r="C1477" s="17">
        <v>2025</v>
      </c>
      <c r="D1477" s="17" t="str">
        <f t="array" ref="D1477">_xlfn.SWITCH(E1477,"Bagor","35.18.14","Sukomoro",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7" s="226" t="s">
        <v>162</v>
      </c>
      <c r="F1477" s="159" t="s">
        <v>3468</v>
      </c>
      <c r="G1477" s="219" t="s">
        <v>3471</v>
      </c>
      <c r="H1477" s="227" t="s">
        <v>31</v>
      </c>
      <c r="I1477" s="228">
        <v>0</v>
      </c>
      <c r="J1477" s="228">
        <v>2</v>
      </c>
      <c r="K1477" s="226">
        <v>2</v>
      </c>
      <c r="L1477" s="229">
        <v>30000000</v>
      </c>
      <c r="M1477" s="237" t="s">
        <v>3472</v>
      </c>
      <c r="N1477" s="230">
        <v>1000</v>
      </c>
      <c r="O1477" s="231" t="s">
        <v>3033</v>
      </c>
      <c r="P1477" s="232">
        <v>2000000</v>
      </c>
      <c r="Q1477" s="231" t="s">
        <v>2434</v>
      </c>
      <c r="R1477" s="230">
        <v>500</v>
      </c>
      <c r="S1477" s="234" t="s">
        <v>422</v>
      </c>
      <c r="T1477" s="235">
        <v>2000000</v>
      </c>
      <c r="U1477" s="226" t="s">
        <v>22</v>
      </c>
      <c r="V1477" s="226"/>
      <c r="W1477" s="226"/>
      <c r="X1477" s="226"/>
      <c r="Y1477" s="226"/>
      <c r="Z1477" s="226"/>
      <c r="AA1477" s="226"/>
      <c r="AB1477" s="226"/>
      <c r="AC1477" s="226"/>
      <c r="AE1477" s="1"/>
      <c r="AF1477" s="2"/>
      <c r="AG1477" s="1"/>
      <c r="AH1477" s="1"/>
      <c r="AI1477" s="1"/>
      <c r="AJ1477" s="1"/>
      <c r="AK1477" s="1"/>
      <c r="AL1477" s="1"/>
      <c r="AM1477" s="1"/>
      <c r="AN1477" s="1"/>
      <c r="AO1477" s="1"/>
      <c r="AP1477" s="1"/>
      <c r="AQ1477" s="1"/>
      <c r="AR1477" s="1"/>
      <c r="AS1477" s="1"/>
      <c r="AT1477" s="1"/>
      <c r="AU1477" s="1"/>
      <c r="AV1477" s="1"/>
      <c r="AW1477" s="1"/>
      <c r="AX1477" s="1"/>
      <c r="AY1477" s="1"/>
      <c r="AZ1477" s="1"/>
      <c r="BA1477" s="1"/>
      <c r="BB1477" s="1"/>
      <c r="BC1477" s="1"/>
      <c r="BD1477" s="1"/>
      <c r="BE1477" s="1"/>
      <c r="BF1477" s="1"/>
      <c r="BG1477" s="1"/>
      <c r="BH1477" s="1"/>
      <c r="BI1477" s="1"/>
      <c r="BJ1477" s="1"/>
      <c r="BK1477" s="1"/>
      <c r="BL1477" s="1"/>
      <c r="BM1477" s="1"/>
      <c r="BN1477" s="1"/>
      <c r="BO1477" s="1"/>
      <c r="BP1477" s="1"/>
      <c r="BQ1477" s="1"/>
      <c r="BR1477" s="1"/>
      <c r="BS1477" s="1"/>
      <c r="BT1477" s="1"/>
      <c r="BU1477" s="1"/>
      <c r="BV1477" s="1"/>
      <c r="BW1477" s="1"/>
      <c r="BX1477" s="1"/>
      <c r="BY1477" s="1"/>
      <c r="BZ1477" s="1"/>
      <c r="CA1477" s="1"/>
      <c r="CB1477" s="1"/>
      <c r="CC1477" s="1"/>
      <c r="CD1477" s="1"/>
      <c r="CE1477" s="1"/>
      <c r="CF1477" s="1"/>
    </row>
    <row r="1478" spans="1:84" s="3" customFormat="1" ht="30" x14ac:dyDescent="0.2">
      <c r="A1478" s="17" t="s">
        <v>3921</v>
      </c>
      <c r="B1478" s="17" t="s">
        <v>45</v>
      </c>
      <c r="C1478" s="17">
        <v>2025</v>
      </c>
      <c r="D1478" s="17" t="str">
        <f t="array" ref="D1478">_xlfn.SWITCH(E1478,"Bagor","35.18.14","Sukomoro",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8" s="226" t="s">
        <v>162</v>
      </c>
      <c r="F1478" s="159" t="s">
        <v>3459</v>
      </c>
      <c r="G1478" s="219" t="s">
        <v>3473</v>
      </c>
      <c r="H1478" s="227" t="s">
        <v>31</v>
      </c>
      <c r="I1478" s="228">
        <v>0</v>
      </c>
      <c r="J1478" s="228">
        <v>1</v>
      </c>
      <c r="K1478" s="226">
        <v>1</v>
      </c>
      <c r="L1478" s="229">
        <v>45000000</v>
      </c>
      <c r="M1478" s="237" t="s">
        <v>3474</v>
      </c>
      <c r="N1478" s="230">
        <v>1000</v>
      </c>
      <c r="O1478" s="231" t="s">
        <v>3033</v>
      </c>
      <c r="P1478" s="232">
        <v>20000000</v>
      </c>
      <c r="Q1478" s="231" t="s">
        <v>2434</v>
      </c>
      <c r="R1478" s="230">
        <v>600</v>
      </c>
      <c r="S1478" s="234" t="s">
        <v>422</v>
      </c>
      <c r="T1478" s="235">
        <v>6000000</v>
      </c>
      <c r="U1478" s="226" t="s">
        <v>22</v>
      </c>
      <c r="V1478" s="226" t="s">
        <v>3475</v>
      </c>
      <c r="W1478" s="226">
        <v>8</v>
      </c>
      <c r="X1478" s="226"/>
      <c r="Y1478" s="236"/>
      <c r="Z1478" s="226"/>
      <c r="AA1478" s="226"/>
      <c r="AB1478" s="226"/>
      <c r="AC1478" s="226"/>
      <c r="AE1478" s="1"/>
      <c r="AF1478" s="2"/>
      <c r="AG1478" s="1"/>
      <c r="AH1478" s="1"/>
      <c r="AI1478" s="1"/>
      <c r="AJ1478" s="1"/>
      <c r="AK1478" s="1"/>
      <c r="AL1478" s="1"/>
      <c r="AM1478" s="1"/>
      <c r="AN1478" s="1"/>
      <c r="AO1478" s="1"/>
      <c r="AP1478" s="1"/>
      <c r="AQ1478" s="1"/>
      <c r="AR1478" s="1"/>
      <c r="AS1478" s="1"/>
      <c r="AT1478" s="1"/>
      <c r="AU1478" s="1"/>
      <c r="AV1478" s="1"/>
      <c r="AW1478" s="1"/>
      <c r="AX1478" s="1"/>
      <c r="AY1478" s="1"/>
      <c r="AZ1478" s="1"/>
      <c r="BA1478" s="1"/>
      <c r="BB1478" s="1"/>
      <c r="BC1478" s="1"/>
      <c r="BD1478" s="1"/>
      <c r="BE1478" s="1"/>
      <c r="BF1478" s="1"/>
      <c r="BG1478" s="1"/>
      <c r="BH1478" s="1"/>
      <c r="BI1478" s="1"/>
      <c r="BJ1478" s="1"/>
      <c r="BK1478" s="1"/>
      <c r="BL1478" s="1"/>
      <c r="BM1478" s="1"/>
      <c r="BN1478" s="1"/>
      <c r="BO1478" s="1"/>
      <c r="BP1478" s="1"/>
      <c r="BQ1478" s="1"/>
      <c r="BR1478" s="1"/>
      <c r="BS1478" s="1"/>
      <c r="BT1478" s="1"/>
      <c r="BU1478" s="1"/>
      <c r="BV1478" s="1"/>
      <c r="BW1478" s="1"/>
      <c r="BX1478" s="1"/>
      <c r="BY1478" s="1"/>
      <c r="BZ1478" s="1"/>
      <c r="CA1478" s="1"/>
      <c r="CB1478" s="1"/>
      <c r="CC1478" s="1"/>
      <c r="CD1478" s="1"/>
      <c r="CE1478" s="1"/>
      <c r="CF1478" s="1"/>
    </row>
    <row r="1479" spans="1:84" s="3" customFormat="1" ht="30" x14ac:dyDescent="0.2">
      <c r="A1479" s="17" t="s">
        <v>3921</v>
      </c>
      <c r="B1479" s="17" t="s">
        <v>45</v>
      </c>
      <c r="C1479" s="17">
        <v>2025</v>
      </c>
      <c r="D1479" s="17" t="str">
        <f t="array" ref="D1479">_xlfn.SWITCH(E1479,"Bagor","35.18.14","Sukomoro",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9" s="226" t="s">
        <v>162</v>
      </c>
      <c r="F1479" s="159" t="s">
        <v>3459</v>
      </c>
      <c r="G1479" s="219" t="s">
        <v>3476</v>
      </c>
      <c r="H1479" s="227" t="s">
        <v>31</v>
      </c>
      <c r="I1479" s="228">
        <v>0</v>
      </c>
      <c r="J1479" s="228">
        <v>1</v>
      </c>
      <c r="K1479" s="226">
        <v>1</v>
      </c>
      <c r="L1479" s="229">
        <v>45000000</v>
      </c>
      <c r="M1479" s="150" t="s">
        <v>3477</v>
      </c>
      <c r="N1479" s="230">
        <v>1000</v>
      </c>
      <c r="O1479" s="231" t="s">
        <v>3033</v>
      </c>
      <c r="P1479" s="232">
        <v>2000000</v>
      </c>
      <c r="Q1479" s="231" t="s">
        <v>3461</v>
      </c>
      <c r="R1479" s="230">
        <v>30</v>
      </c>
      <c r="S1479" s="234" t="s">
        <v>422</v>
      </c>
      <c r="T1479" s="235">
        <v>1500000</v>
      </c>
      <c r="U1479" s="226" t="s">
        <v>22</v>
      </c>
      <c r="V1479" s="226" t="s">
        <v>3443</v>
      </c>
      <c r="W1479" s="226">
        <v>6</v>
      </c>
      <c r="X1479" s="226"/>
      <c r="Y1479" s="236"/>
      <c r="Z1479" s="226"/>
      <c r="AA1479" s="226"/>
      <c r="AB1479" s="226"/>
      <c r="AC1479" s="226"/>
      <c r="AE1479" s="1"/>
      <c r="AF1479" s="2"/>
      <c r="AG1479" s="1"/>
      <c r="AH1479" s="1"/>
      <c r="AI1479" s="1"/>
      <c r="AJ1479" s="1"/>
      <c r="AK1479" s="1"/>
      <c r="AL1479" s="1"/>
      <c r="AM1479" s="1"/>
      <c r="AN1479" s="1"/>
      <c r="AO1479" s="1"/>
      <c r="AP1479" s="1"/>
      <c r="AQ1479" s="1"/>
      <c r="AR1479" s="1"/>
      <c r="AS1479" s="1"/>
      <c r="AT1479" s="1"/>
      <c r="AU1479" s="1"/>
      <c r="AV1479" s="1"/>
      <c r="AW1479" s="1"/>
      <c r="AX1479" s="1"/>
      <c r="AY1479" s="1"/>
      <c r="AZ1479" s="1"/>
      <c r="BA1479" s="1"/>
      <c r="BB1479" s="1"/>
      <c r="BC1479" s="1"/>
      <c r="BD1479" s="1"/>
      <c r="BE1479" s="1"/>
      <c r="BF1479" s="1"/>
      <c r="BG1479" s="1"/>
      <c r="BH1479" s="1"/>
      <c r="BI1479" s="1"/>
      <c r="BJ1479" s="1"/>
      <c r="BK1479" s="1"/>
      <c r="BL1479" s="1"/>
      <c r="BM1479" s="1"/>
      <c r="BN1479" s="1"/>
      <c r="BO1479" s="1"/>
      <c r="BP1479" s="1"/>
      <c r="BQ1479" s="1"/>
      <c r="BR1479" s="1"/>
      <c r="BS1479" s="1"/>
      <c r="BT1479" s="1"/>
      <c r="BU1479" s="1"/>
      <c r="BV1479" s="1"/>
      <c r="BW1479" s="1"/>
      <c r="BX1479" s="1"/>
      <c r="BY1479" s="1"/>
      <c r="BZ1479" s="1"/>
      <c r="CA1479" s="1"/>
      <c r="CB1479" s="1"/>
      <c r="CC1479" s="1"/>
      <c r="CD1479" s="1"/>
      <c r="CE1479" s="1"/>
      <c r="CF1479" s="1"/>
    </row>
    <row r="1480" spans="1:84" s="3" customFormat="1" ht="30" x14ac:dyDescent="0.2">
      <c r="A1480" s="17" t="s">
        <v>3921</v>
      </c>
      <c r="B1480" s="17" t="s">
        <v>45</v>
      </c>
      <c r="C1480" s="17">
        <v>2025</v>
      </c>
      <c r="D1480" s="17" t="str">
        <f t="array" ref="D1480">_xlfn.SWITCH(E1480,"Bagor","35.18.14","Sukomoro",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0" s="226" t="s">
        <v>162</v>
      </c>
      <c r="F1480" s="159" t="s">
        <v>3459</v>
      </c>
      <c r="G1480" s="219" t="s">
        <v>3478</v>
      </c>
      <c r="H1480" s="227" t="s">
        <v>31</v>
      </c>
      <c r="I1480" s="228">
        <v>0</v>
      </c>
      <c r="J1480" s="228">
        <v>1</v>
      </c>
      <c r="K1480" s="226">
        <v>1</v>
      </c>
      <c r="L1480" s="229">
        <v>35000000</v>
      </c>
      <c r="M1480" s="237" t="s">
        <v>3478</v>
      </c>
      <c r="N1480" s="230">
        <v>800</v>
      </c>
      <c r="O1480" s="231" t="s">
        <v>3033</v>
      </c>
      <c r="P1480" s="232">
        <v>1800000</v>
      </c>
      <c r="Q1480" s="231" t="s">
        <v>1642</v>
      </c>
      <c r="R1480" s="230">
        <v>12</v>
      </c>
      <c r="S1480" s="234" t="s">
        <v>422</v>
      </c>
      <c r="T1480" s="235">
        <v>2500000</v>
      </c>
      <c r="U1480" s="226" t="s">
        <v>22</v>
      </c>
      <c r="V1480" s="226"/>
      <c r="W1480" s="226"/>
      <c r="X1480" s="226"/>
      <c r="Y1480" s="226"/>
      <c r="Z1480" s="226"/>
      <c r="AA1480" s="226"/>
      <c r="AB1480" s="226"/>
      <c r="AC1480" s="226"/>
      <c r="AE1480" s="1"/>
      <c r="AF1480" s="2"/>
      <c r="AG1480" s="1"/>
      <c r="AH1480" s="1"/>
      <c r="AI1480" s="1"/>
      <c r="AJ1480" s="1"/>
      <c r="AK1480" s="1"/>
      <c r="AL1480" s="1"/>
      <c r="AM1480" s="1"/>
      <c r="AN1480" s="1"/>
      <c r="AO1480" s="1"/>
      <c r="AP1480" s="1"/>
      <c r="AQ1480" s="1"/>
      <c r="AR1480" s="1"/>
      <c r="AS1480" s="1"/>
      <c r="AT1480" s="1"/>
      <c r="AU1480" s="1"/>
      <c r="AV1480" s="1"/>
      <c r="AW1480" s="1"/>
      <c r="AX1480" s="1"/>
      <c r="AY1480" s="1"/>
      <c r="AZ1480" s="1"/>
      <c r="BA1480" s="1"/>
      <c r="BB1480" s="1"/>
      <c r="BC1480" s="1"/>
      <c r="BD1480" s="1"/>
      <c r="BE1480" s="1"/>
      <c r="BF1480" s="1"/>
      <c r="BG1480" s="1"/>
      <c r="BH1480" s="1"/>
      <c r="BI1480" s="1"/>
      <c r="BJ1480" s="1"/>
      <c r="BK1480" s="1"/>
      <c r="BL1480" s="1"/>
      <c r="BM1480" s="1"/>
      <c r="BN1480" s="1"/>
      <c r="BO1480" s="1"/>
      <c r="BP1480" s="1"/>
      <c r="BQ1480" s="1"/>
      <c r="BR1480" s="1"/>
      <c r="BS1480" s="1"/>
      <c r="BT1480" s="1"/>
      <c r="BU1480" s="1"/>
      <c r="BV1480" s="1"/>
      <c r="BW1480" s="1"/>
      <c r="BX1480" s="1"/>
      <c r="BY1480" s="1"/>
      <c r="BZ1480" s="1"/>
      <c r="CA1480" s="1"/>
      <c r="CB1480" s="1"/>
      <c r="CC1480" s="1"/>
      <c r="CD1480" s="1"/>
      <c r="CE1480" s="1"/>
      <c r="CF1480" s="1"/>
    </row>
    <row r="1481" spans="1:84" s="3" customFormat="1" ht="30" x14ac:dyDescent="0.2">
      <c r="A1481" s="17" t="s">
        <v>3921</v>
      </c>
      <c r="B1481" s="17" t="s">
        <v>45</v>
      </c>
      <c r="C1481" s="17">
        <v>2025</v>
      </c>
      <c r="D1481" s="17" t="str">
        <f t="array" ref="D1481">_xlfn.SWITCH(E1481,"Bagor","35.18.14","Sukomoro",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1" s="226" t="s">
        <v>162</v>
      </c>
      <c r="F1481" s="159" t="s">
        <v>3479</v>
      </c>
      <c r="G1481" s="219" t="s">
        <v>3480</v>
      </c>
      <c r="H1481" s="227" t="s">
        <v>31</v>
      </c>
      <c r="I1481" s="228">
        <v>0</v>
      </c>
      <c r="J1481" s="228">
        <v>1</v>
      </c>
      <c r="K1481" s="226">
        <v>1</v>
      </c>
      <c r="L1481" s="229">
        <v>45000000</v>
      </c>
      <c r="M1481" s="237" t="s">
        <v>3481</v>
      </c>
      <c r="N1481" s="230">
        <v>50</v>
      </c>
      <c r="O1481" s="231" t="s">
        <v>422</v>
      </c>
      <c r="P1481" s="232">
        <v>2000000</v>
      </c>
      <c r="Q1481" s="231" t="s">
        <v>3482</v>
      </c>
      <c r="R1481" s="230">
        <v>50</v>
      </c>
      <c r="S1481" s="234" t="s">
        <v>422</v>
      </c>
      <c r="T1481" s="235">
        <v>1500000</v>
      </c>
      <c r="U1481" s="226" t="s">
        <v>22</v>
      </c>
      <c r="V1481" s="226" t="s">
        <v>3443</v>
      </c>
      <c r="W1481" s="226">
        <v>2</v>
      </c>
      <c r="X1481" s="226"/>
      <c r="Y1481" s="226"/>
      <c r="Z1481" s="226"/>
      <c r="AA1481" s="226"/>
      <c r="AB1481" s="226"/>
      <c r="AC1481" s="226"/>
      <c r="AE1481" s="1"/>
      <c r="AF1481" s="2"/>
      <c r="AG1481" s="1"/>
      <c r="AH1481" s="1"/>
      <c r="AI1481" s="1"/>
      <c r="AJ1481" s="1"/>
      <c r="AK1481" s="1"/>
      <c r="AL1481" s="1"/>
      <c r="AM1481" s="1"/>
      <c r="AN1481" s="1"/>
      <c r="AO1481" s="1"/>
      <c r="AP1481" s="1"/>
      <c r="AQ1481" s="1"/>
      <c r="AR1481" s="1"/>
      <c r="AS1481" s="1"/>
      <c r="AT1481" s="1"/>
      <c r="AU1481" s="1"/>
      <c r="AV1481" s="1"/>
      <c r="AW1481" s="1"/>
      <c r="AX1481" s="1"/>
      <c r="AY1481" s="1"/>
      <c r="AZ1481" s="1"/>
      <c r="BA1481" s="1"/>
      <c r="BB1481" s="1"/>
      <c r="BC1481" s="1"/>
      <c r="BD1481" s="1"/>
      <c r="BE1481" s="1"/>
      <c r="BF1481" s="1"/>
      <c r="BG1481" s="1"/>
      <c r="BH1481" s="1"/>
      <c r="BI1481" s="1"/>
      <c r="BJ1481" s="1"/>
      <c r="BK1481" s="1"/>
      <c r="BL1481" s="1"/>
      <c r="BM1481" s="1"/>
      <c r="BN1481" s="1"/>
      <c r="BO1481" s="1"/>
      <c r="BP1481" s="1"/>
      <c r="BQ1481" s="1"/>
      <c r="BR1481" s="1"/>
      <c r="BS1481" s="1"/>
      <c r="BT1481" s="1"/>
      <c r="BU1481" s="1"/>
      <c r="BV1481" s="1"/>
      <c r="BW1481" s="1"/>
      <c r="BX1481" s="1"/>
      <c r="BY1481" s="1"/>
      <c r="BZ1481" s="1"/>
      <c r="CA1481" s="1"/>
      <c r="CB1481" s="1"/>
      <c r="CC1481" s="1"/>
      <c r="CD1481" s="1"/>
      <c r="CE1481" s="1"/>
      <c r="CF1481" s="1"/>
    </row>
    <row r="1482" spans="1:84" s="3" customFormat="1" ht="30" x14ac:dyDescent="0.2">
      <c r="A1482" s="17" t="s">
        <v>3921</v>
      </c>
      <c r="B1482" s="17" t="s">
        <v>45</v>
      </c>
      <c r="C1482" s="17">
        <v>2025</v>
      </c>
      <c r="D1482" s="17" t="str">
        <f t="array" ref="D1482">_xlfn.SWITCH(E1482,"Bagor","35.18.14","Sukomoro",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2" s="226" t="s">
        <v>162</v>
      </c>
      <c r="F1482" s="159" t="s">
        <v>3483</v>
      </c>
      <c r="G1482" s="219" t="s">
        <v>3484</v>
      </c>
      <c r="H1482" s="227" t="s">
        <v>31</v>
      </c>
      <c r="I1482" s="228">
        <v>0</v>
      </c>
      <c r="J1482" s="228">
        <v>1</v>
      </c>
      <c r="K1482" s="226">
        <v>1</v>
      </c>
      <c r="L1482" s="229">
        <v>50000000</v>
      </c>
      <c r="M1482" s="150" t="s">
        <v>3485</v>
      </c>
      <c r="N1482" s="230">
        <v>750</v>
      </c>
      <c r="O1482" s="231" t="s">
        <v>3033</v>
      </c>
      <c r="P1482" s="232">
        <v>6000000</v>
      </c>
      <c r="Q1482" s="231" t="s">
        <v>3486</v>
      </c>
      <c r="R1482" s="230">
        <v>10</v>
      </c>
      <c r="S1482" s="234" t="s">
        <v>3487</v>
      </c>
      <c r="T1482" s="235">
        <v>5200000</v>
      </c>
      <c r="U1482" s="226" t="s">
        <v>22</v>
      </c>
      <c r="V1482" s="226" t="s">
        <v>50</v>
      </c>
      <c r="W1482" s="226">
        <v>1</v>
      </c>
      <c r="X1482" s="226" t="s">
        <v>3450</v>
      </c>
      <c r="Y1482" s="226"/>
      <c r="Z1482" s="226"/>
      <c r="AA1482" s="226"/>
      <c r="AB1482" s="226"/>
      <c r="AC1482" s="226"/>
      <c r="AE1482" s="1"/>
      <c r="AF1482" s="2"/>
      <c r="AG1482" s="1"/>
      <c r="AH1482" s="1"/>
      <c r="AI1482" s="1"/>
      <c r="AJ1482" s="1"/>
      <c r="AK1482" s="1"/>
      <c r="AL1482" s="1"/>
      <c r="AM1482" s="1"/>
      <c r="AN1482" s="1"/>
      <c r="AO1482" s="1"/>
      <c r="AP1482" s="1"/>
      <c r="AQ1482" s="1"/>
      <c r="AR1482" s="1"/>
      <c r="AS1482" s="1"/>
      <c r="AT1482" s="1"/>
      <c r="AU1482" s="1"/>
      <c r="AV1482" s="1"/>
      <c r="AW1482" s="1"/>
      <c r="AX1482" s="1"/>
      <c r="AY1482" s="1"/>
      <c r="AZ1482" s="1"/>
      <c r="BA1482" s="1"/>
      <c r="BB1482" s="1"/>
      <c r="BC1482" s="1"/>
      <c r="BD1482" s="1"/>
      <c r="BE1482" s="1"/>
      <c r="BF1482" s="1"/>
      <c r="BG1482" s="1"/>
      <c r="BH1482" s="1"/>
      <c r="BI1482" s="1"/>
      <c r="BJ1482" s="1"/>
      <c r="BK1482" s="1"/>
      <c r="BL1482" s="1"/>
      <c r="BM1482" s="1"/>
      <c r="BN1482" s="1"/>
      <c r="BO1482" s="1"/>
      <c r="BP1482" s="1"/>
      <c r="BQ1482" s="1"/>
      <c r="BR1482" s="1"/>
      <c r="BS1482" s="1"/>
      <c r="BT1482" s="1"/>
      <c r="BU1482" s="1"/>
      <c r="BV1482" s="1"/>
      <c r="BW1482" s="1"/>
      <c r="BX1482" s="1"/>
      <c r="BY1482" s="1"/>
      <c r="BZ1482" s="1"/>
      <c r="CA1482" s="1"/>
      <c r="CB1482" s="1"/>
      <c r="CC1482" s="1"/>
      <c r="CD1482" s="1"/>
      <c r="CE1482" s="1"/>
      <c r="CF1482" s="1"/>
    </row>
    <row r="1483" spans="1:84" s="3" customFormat="1" ht="30" x14ac:dyDescent="0.2">
      <c r="A1483" s="17" t="s">
        <v>3921</v>
      </c>
      <c r="B1483" s="17" t="s">
        <v>45</v>
      </c>
      <c r="C1483" s="17">
        <v>2025</v>
      </c>
      <c r="D1483" s="17" t="str">
        <f t="array" ref="D1483">_xlfn.SWITCH(E1483,"Bagor","35.18.14","Sukomoro",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3" s="226" t="s">
        <v>162</v>
      </c>
      <c r="F1483" s="159" t="s">
        <v>3483</v>
      </c>
      <c r="G1483" s="219" t="s">
        <v>3488</v>
      </c>
      <c r="H1483" s="227" t="s">
        <v>31</v>
      </c>
      <c r="I1483" s="228">
        <v>3</v>
      </c>
      <c r="J1483" s="228">
        <v>3</v>
      </c>
      <c r="K1483" s="226">
        <v>6</v>
      </c>
      <c r="L1483" s="229">
        <v>75000000</v>
      </c>
      <c r="M1483" s="150" t="s">
        <v>3489</v>
      </c>
      <c r="N1483" s="230">
        <v>2000</v>
      </c>
      <c r="O1483" s="231" t="s">
        <v>3033</v>
      </c>
      <c r="P1483" s="232">
        <v>30000000</v>
      </c>
      <c r="Q1483" s="231" t="s">
        <v>3049</v>
      </c>
      <c r="R1483" s="230">
        <v>50</v>
      </c>
      <c r="S1483" s="234" t="s">
        <v>3487</v>
      </c>
      <c r="T1483" s="235">
        <v>30000000</v>
      </c>
      <c r="U1483" s="226" t="s">
        <v>22</v>
      </c>
      <c r="V1483" s="226" t="s">
        <v>3443</v>
      </c>
      <c r="W1483" s="226">
        <v>20</v>
      </c>
      <c r="X1483" s="226" t="s">
        <v>3033</v>
      </c>
      <c r="Y1483" s="226"/>
      <c r="Z1483" s="226"/>
      <c r="AA1483" s="226"/>
      <c r="AB1483" s="226"/>
      <c r="AC1483" s="226"/>
      <c r="AE1483" s="1"/>
      <c r="AF1483" s="2"/>
      <c r="AG1483" s="1"/>
      <c r="AH1483" s="1"/>
      <c r="AI1483" s="1"/>
      <c r="AJ1483" s="1"/>
      <c r="AK1483" s="1"/>
      <c r="AL1483" s="1"/>
      <c r="AM1483" s="1"/>
      <c r="AN1483" s="1"/>
      <c r="AO1483" s="1"/>
      <c r="AP1483" s="1"/>
      <c r="AQ1483" s="1"/>
      <c r="AR1483" s="1"/>
      <c r="AS1483" s="1"/>
      <c r="AT1483" s="1"/>
      <c r="AU1483" s="1"/>
      <c r="AV1483" s="1"/>
      <c r="AW1483" s="1"/>
      <c r="AX1483" s="1"/>
      <c r="AY1483" s="1"/>
      <c r="AZ1483" s="1"/>
      <c r="BA1483" s="1"/>
      <c r="BB1483" s="1"/>
      <c r="BC1483" s="1"/>
      <c r="BD1483" s="1"/>
      <c r="BE1483" s="1"/>
      <c r="BF1483" s="1"/>
      <c r="BG1483" s="1"/>
      <c r="BH1483" s="1"/>
      <c r="BI1483" s="1"/>
      <c r="BJ1483" s="1"/>
      <c r="BK1483" s="1"/>
      <c r="BL1483" s="1"/>
      <c r="BM1483" s="1"/>
      <c r="BN1483" s="1"/>
      <c r="BO1483" s="1"/>
      <c r="BP1483" s="1"/>
      <c r="BQ1483" s="1"/>
      <c r="BR1483" s="1"/>
      <c r="BS1483" s="1"/>
      <c r="BT1483" s="1"/>
      <c r="BU1483" s="1"/>
      <c r="BV1483" s="1"/>
      <c r="BW1483" s="1"/>
      <c r="BX1483" s="1"/>
      <c r="BY1483" s="1"/>
      <c r="BZ1483" s="1"/>
      <c r="CA1483" s="1"/>
      <c r="CB1483" s="1"/>
      <c r="CC1483" s="1"/>
      <c r="CD1483" s="1"/>
      <c r="CE1483" s="1"/>
      <c r="CF1483" s="1"/>
    </row>
    <row r="1484" spans="1:84" s="3" customFormat="1" ht="30" x14ac:dyDescent="0.2">
      <c r="A1484" s="17" t="s">
        <v>3921</v>
      </c>
      <c r="B1484" s="17" t="s">
        <v>45</v>
      </c>
      <c r="C1484" s="17">
        <v>2025</v>
      </c>
      <c r="D1484" s="17" t="str">
        <f t="array" ref="D1484">_xlfn.SWITCH(E1484,"Bagor","35.18.14","Sukomoro",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4" s="226" t="s">
        <v>162</v>
      </c>
      <c r="F1484" s="159" t="s">
        <v>3483</v>
      </c>
      <c r="G1484" s="219" t="s">
        <v>3490</v>
      </c>
      <c r="H1484" s="227" t="s">
        <v>31</v>
      </c>
      <c r="I1484" s="228">
        <v>6</v>
      </c>
      <c r="J1484" s="228">
        <v>6</v>
      </c>
      <c r="K1484" s="226">
        <v>12</v>
      </c>
      <c r="L1484" s="229">
        <v>60000000</v>
      </c>
      <c r="M1484" s="150" t="s">
        <v>3491</v>
      </c>
      <c r="N1484" s="230">
        <v>7000</v>
      </c>
      <c r="O1484" s="231" t="s">
        <v>3492</v>
      </c>
      <c r="P1484" s="232">
        <v>45000000</v>
      </c>
      <c r="Q1484" s="231" t="s">
        <v>3049</v>
      </c>
      <c r="R1484" s="230">
        <v>100</v>
      </c>
      <c r="S1484" s="234" t="s">
        <v>3487</v>
      </c>
      <c r="T1484" s="235">
        <v>20000000</v>
      </c>
      <c r="U1484" s="226" t="s">
        <v>22</v>
      </c>
      <c r="V1484" s="226" t="s">
        <v>50</v>
      </c>
      <c r="W1484" s="226">
        <v>1</v>
      </c>
      <c r="X1484" s="226" t="s">
        <v>3450</v>
      </c>
      <c r="Y1484" s="226"/>
      <c r="Z1484" s="226"/>
      <c r="AA1484" s="226"/>
      <c r="AB1484" s="226"/>
      <c r="AC1484" s="226"/>
      <c r="AE1484" s="1"/>
      <c r="AF1484" s="2"/>
      <c r="AG1484" s="1"/>
      <c r="AH1484" s="1"/>
      <c r="AI1484" s="1"/>
      <c r="AJ1484" s="1"/>
      <c r="AK1484" s="1"/>
      <c r="AL1484" s="1"/>
      <c r="AM1484" s="1"/>
      <c r="AN1484" s="1"/>
      <c r="AO1484" s="1"/>
      <c r="AP1484" s="1"/>
      <c r="AQ1484" s="1"/>
      <c r="AR1484" s="1"/>
      <c r="AS1484" s="1"/>
      <c r="AT1484" s="1"/>
      <c r="AU1484" s="1"/>
      <c r="AV1484" s="1"/>
      <c r="AW1484" s="1"/>
      <c r="AX1484" s="1"/>
      <c r="AY1484" s="1"/>
      <c r="AZ1484" s="1"/>
      <c r="BA1484" s="1"/>
      <c r="BB1484" s="1"/>
      <c r="BC1484" s="1"/>
      <c r="BD1484" s="1"/>
      <c r="BE1484" s="1"/>
      <c r="BF1484" s="1"/>
      <c r="BG1484" s="1"/>
      <c r="BH1484" s="1"/>
      <c r="BI1484" s="1"/>
      <c r="BJ1484" s="1"/>
      <c r="BK1484" s="1"/>
      <c r="BL1484" s="1"/>
      <c r="BM1484" s="1"/>
      <c r="BN1484" s="1"/>
      <c r="BO1484" s="1"/>
      <c r="BP1484" s="1"/>
      <c r="BQ1484" s="1"/>
      <c r="BR1484" s="1"/>
      <c r="BS1484" s="1"/>
      <c r="BT1484" s="1"/>
      <c r="BU1484" s="1"/>
      <c r="BV1484" s="1"/>
      <c r="BW1484" s="1"/>
      <c r="BX1484" s="1"/>
      <c r="BY1484" s="1"/>
      <c r="BZ1484" s="1"/>
      <c r="CA1484" s="1"/>
      <c r="CB1484" s="1"/>
      <c r="CC1484" s="1"/>
      <c r="CD1484" s="1"/>
      <c r="CE1484" s="1"/>
      <c r="CF1484" s="1"/>
    </row>
    <row r="1485" spans="1:84" s="3" customFormat="1" ht="30" x14ac:dyDescent="0.2">
      <c r="A1485" s="17" t="s">
        <v>3921</v>
      </c>
      <c r="B1485" s="17" t="s">
        <v>45</v>
      </c>
      <c r="C1485" s="17">
        <v>2025</v>
      </c>
      <c r="D1485" s="17" t="str">
        <f t="array" ref="D1485">_xlfn.SWITCH(E1485,"Bagor","35.18.14","Sukomoro",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5" s="226" t="s">
        <v>162</v>
      </c>
      <c r="F1485" s="159" t="s">
        <v>3483</v>
      </c>
      <c r="G1485" s="219" t="s">
        <v>3493</v>
      </c>
      <c r="H1485" s="227" t="s">
        <v>31</v>
      </c>
      <c r="I1485" s="228">
        <v>0</v>
      </c>
      <c r="J1485" s="228">
        <v>2</v>
      </c>
      <c r="K1485" s="226">
        <v>2</v>
      </c>
      <c r="L1485" s="229">
        <v>50000000</v>
      </c>
      <c r="M1485" s="150" t="s">
        <v>3494</v>
      </c>
      <c r="N1485" s="230">
        <v>1500</v>
      </c>
      <c r="O1485" s="231" t="s">
        <v>3492</v>
      </c>
      <c r="P1485" s="232">
        <v>25000000</v>
      </c>
      <c r="Q1485" s="231" t="s">
        <v>3486</v>
      </c>
      <c r="R1485" s="230">
        <v>40</v>
      </c>
      <c r="S1485" s="234" t="s">
        <v>3487</v>
      </c>
      <c r="T1485" s="235">
        <v>25000000</v>
      </c>
      <c r="U1485" s="226" t="s">
        <v>22</v>
      </c>
      <c r="V1485" s="226" t="s">
        <v>50</v>
      </c>
      <c r="W1485" s="226">
        <v>0.5</v>
      </c>
      <c r="X1485" s="226" t="s">
        <v>3450</v>
      </c>
      <c r="Y1485" s="226"/>
      <c r="Z1485" s="226"/>
      <c r="AA1485" s="226"/>
      <c r="AB1485" s="226"/>
      <c r="AC1485" s="226"/>
      <c r="AE1485" s="1"/>
      <c r="AF1485" s="2"/>
      <c r="AG1485" s="1"/>
      <c r="AH1485" s="1"/>
      <c r="AI1485" s="1"/>
      <c r="AJ1485" s="1"/>
      <c r="AK1485" s="1"/>
      <c r="AL1485" s="1"/>
      <c r="AM1485" s="1"/>
      <c r="AN1485" s="1"/>
      <c r="AO1485" s="1"/>
      <c r="AP1485" s="1"/>
      <c r="AQ1485" s="1"/>
      <c r="AR1485" s="1"/>
      <c r="AS1485" s="1"/>
      <c r="AT1485" s="1"/>
      <c r="AU1485" s="1"/>
      <c r="AV1485" s="1"/>
      <c r="AW1485" s="1"/>
      <c r="AX1485" s="1"/>
      <c r="AY1485" s="1"/>
      <c r="AZ1485" s="1"/>
      <c r="BA1485" s="1"/>
      <c r="BB1485" s="1"/>
      <c r="BC1485" s="1"/>
      <c r="BD1485" s="1"/>
      <c r="BE1485" s="1"/>
      <c r="BF1485" s="1"/>
      <c r="BG1485" s="1"/>
      <c r="BH1485" s="1"/>
      <c r="BI1485" s="1"/>
      <c r="BJ1485" s="1"/>
      <c r="BK1485" s="1"/>
      <c r="BL1485" s="1"/>
      <c r="BM1485" s="1"/>
      <c r="BN1485" s="1"/>
      <c r="BO1485" s="1"/>
      <c r="BP1485" s="1"/>
      <c r="BQ1485" s="1"/>
      <c r="BR1485" s="1"/>
      <c r="BS1485" s="1"/>
      <c r="BT1485" s="1"/>
      <c r="BU1485" s="1"/>
      <c r="BV1485" s="1"/>
      <c r="BW1485" s="1"/>
      <c r="BX1485" s="1"/>
      <c r="BY1485" s="1"/>
      <c r="BZ1485" s="1"/>
      <c r="CA1485" s="1"/>
      <c r="CB1485" s="1"/>
      <c r="CC1485" s="1"/>
      <c r="CD1485" s="1"/>
      <c r="CE1485" s="1"/>
      <c r="CF1485" s="1"/>
    </row>
    <row r="1486" spans="1:84" s="3" customFormat="1" ht="30" x14ac:dyDescent="0.2">
      <c r="A1486" s="17" t="s">
        <v>3921</v>
      </c>
      <c r="B1486" s="17" t="s">
        <v>45</v>
      </c>
      <c r="C1486" s="17">
        <v>2025</v>
      </c>
      <c r="D1486" s="17" t="str">
        <f t="array" ref="D1486">_xlfn.SWITCH(E1486,"Bagor","35.18.14","Sukomoro",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6" s="226" t="s">
        <v>162</v>
      </c>
      <c r="F1486" s="159" t="s">
        <v>3495</v>
      </c>
      <c r="G1486" s="219" t="s">
        <v>3496</v>
      </c>
      <c r="H1486" s="227" t="s">
        <v>31</v>
      </c>
      <c r="I1486" s="228">
        <v>0</v>
      </c>
      <c r="J1486" s="228">
        <v>4</v>
      </c>
      <c r="K1486" s="226">
        <v>4</v>
      </c>
      <c r="L1486" s="229">
        <v>65000000</v>
      </c>
      <c r="M1486" s="150" t="s">
        <v>3491</v>
      </c>
      <c r="N1486" s="230">
        <v>500</v>
      </c>
      <c r="O1486" s="231" t="s">
        <v>3492</v>
      </c>
      <c r="P1486" s="232">
        <v>10000000</v>
      </c>
      <c r="Q1486" s="231" t="s">
        <v>3049</v>
      </c>
      <c r="R1486" s="230">
        <v>80</v>
      </c>
      <c r="S1486" s="234" t="s">
        <v>3497</v>
      </c>
      <c r="T1486" s="235">
        <v>40000000</v>
      </c>
      <c r="U1486" s="226" t="s">
        <v>22</v>
      </c>
      <c r="V1486" s="226" t="s">
        <v>3475</v>
      </c>
      <c r="W1486" s="226">
        <v>20</v>
      </c>
      <c r="X1486" s="226" t="s">
        <v>3033</v>
      </c>
      <c r="Y1486" s="226"/>
      <c r="Z1486" s="226"/>
      <c r="AA1486" s="226"/>
      <c r="AB1486" s="226"/>
      <c r="AC1486" s="226"/>
      <c r="AE1486" s="1"/>
      <c r="AF1486" s="2"/>
      <c r="AG1486" s="1"/>
      <c r="AH1486" s="1"/>
      <c r="AI1486" s="1"/>
      <c r="AJ1486" s="1"/>
      <c r="AK1486" s="1"/>
      <c r="AL1486" s="1"/>
      <c r="AM1486" s="1"/>
      <c r="AN1486" s="1"/>
      <c r="AO1486" s="1"/>
      <c r="AP1486" s="1"/>
      <c r="AQ1486" s="1"/>
      <c r="AR1486" s="1"/>
      <c r="AS1486" s="1"/>
      <c r="AT1486" s="1"/>
      <c r="AU1486" s="1"/>
      <c r="AV1486" s="1"/>
      <c r="AW1486" s="1"/>
      <c r="AX1486" s="1"/>
      <c r="AY1486" s="1"/>
      <c r="AZ1486" s="1"/>
      <c r="BA1486" s="1"/>
      <c r="BB1486" s="1"/>
      <c r="BC1486" s="1"/>
      <c r="BD1486" s="1"/>
      <c r="BE1486" s="1"/>
      <c r="BF1486" s="1"/>
      <c r="BG1486" s="1"/>
      <c r="BH1486" s="1"/>
      <c r="BI1486" s="1"/>
      <c r="BJ1486" s="1"/>
      <c r="BK1486" s="1"/>
      <c r="BL1486" s="1"/>
      <c r="BM1486" s="1"/>
      <c r="BN1486" s="1"/>
      <c r="BO1486" s="1"/>
      <c r="BP1486" s="1"/>
      <c r="BQ1486" s="1"/>
      <c r="BR1486" s="1"/>
      <c r="BS1486" s="1"/>
      <c r="BT1486" s="1"/>
      <c r="BU1486" s="1"/>
      <c r="BV1486" s="1"/>
      <c r="BW1486" s="1"/>
      <c r="BX1486" s="1"/>
      <c r="BY1486" s="1"/>
      <c r="BZ1486" s="1"/>
      <c r="CA1486" s="1"/>
      <c r="CB1486" s="1"/>
      <c r="CC1486" s="1"/>
      <c r="CD1486" s="1"/>
      <c r="CE1486" s="1"/>
      <c r="CF1486" s="1"/>
    </row>
    <row r="1487" spans="1:84" s="3" customFormat="1" ht="30" x14ac:dyDescent="0.2">
      <c r="A1487" s="17" t="s">
        <v>3921</v>
      </c>
      <c r="B1487" s="17" t="s">
        <v>45</v>
      </c>
      <c r="C1487" s="17">
        <v>2025</v>
      </c>
      <c r="D1487" s="17" t="str">
        <f t="array" ref="D1487">_xlfn.SWITCH(E1487,"Bagor","35.18.14","Sukomoro",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7" s="226" t="s">
        <v>162</v>
      </c>
      <c r="F1487" s="159" t="s">
        <v>3479</v>
      </c>
      <c r="G1487" s="219" t="s">
        <v>3498</v>
      </c>
      <c r="H1487" s="227" t="s">
        <v>31</v>
      </c>
      <c r="I1487" s="228">
        <v>0</v>
      </c>
      <c r="J1487" s="228">
        <v>1</v>
      </c>
      <c r="K1487" s="226">
        <v>1</v>
      </c>
      <c r="L1487" s="229">
        <v>65000000</v>
      </c>
      <c r="M1487" s="150" t="s">
        <v>3499</v>
      </c>
      <c r="N1487" s="230">
        <v>1000</v>
      </c>
      <c r="O1487" s="231" t="s">
        <v>3033</v>
      </c>
      <c r="P1487" s="232">
        <v>6000000</v>
      </c>
      <c r="Q1487" s="231" t="s">
        <v>1642</v>
      </c>
      <c r="R1487" s="230">
        <v>450</v>
      </c>
      <c r="S1487" s="234" t="s">
        <v>422</v>
      </c>
      <c r="T1487" s="235">
        <v>5400000</v>
      </c>
      <c r="U1487" s="226" t="s">
        <v>22</v>
      </c>
      <c r="V1487" s="226" t="s">
        <v>50</v>
      </c>
      <c r="W1487" s="226">
        <v>1</v>
      </c>
      <c r="X1487" s="226" t="s">
        <v>3450</v>
      </c>
      <c r="Y1487" s="226"/>
      <c r="Z1487" s="226"/>
      <c r="AA1487" s="226"/>
      <c r="AB1487" s="226"/>
      <c r="AC1487" s="226"/>
      <c r="AE1487" s="1"/>
      <c r="AF1487" s="2"/>
      <c r="AG1487" s="1"/>
      <c r="AH1487" s="1"/>
      <c r="AI1487" s="1"/>
      <c r="AJ1487" s="1"/>
      <c r="AK1487" s="1"/>
      <c r="AL1487" s="1"/>
      <c r="AM1487" s="1"/>
      <c r="AN1487" s="1"/>
      <c r="AO1487" s="1"/>
      <c r="AP1487" s="1"/>
      <c r="AQ1487" s="1"/>
      <c r="AR1487" s="1"/>
      <c r="AS1487" s="1"/>
      <c r="AT1487" s="1"/>
      <c r="AU1487" s="1"/>
      <c r="AV1487" s="1"/>
      <c r="AW1487" s="1"/>
      <c r="AX1487" s="1"/>
      <c r="AY1487" s="1"/>
      <c r="AZ1487" s="1"/>
      <c r="BA1487" s="1"/>
      <c r="BB1487" s="1"/>
      <c r="BC1487" s="1"/>
      <c r="BD1487" s="1"/>
      <c r="BE1487" s="1"/>
      <c r="BF1487" s="1"/>
      <c r="BG1487" s="1"/>
      <c r="BH1487" s="1"/>
      <c r="BI1487" s="1"/>
      <c r="BJ1487" s="1"/>
      <c r="BK1487" s="1"/>
      <c r="BL1487" s="1"/>
      <c r="BM1487" s="1"/>
      <c r="BN1487" s="1"/>
      <c r="BO1487" s="1"/>
      <c r="BP1487" s="1"/>
      <c r="BQ1487" s="1"/>
      <c r="BR1487" s="1"/>
      <c r="BS1487" s="1"/>
      <c r="BT1487" s="1"/>
      <c r="BU1487" s="1"/>
      <c r="BV1487" s="1"/>
      <c r="BW1487" s="1"/>
      <c r="BX1487" s="1"/>
      <c r="BY1487" s="1"/>
      <c r="BZ1487" s="1"/>
      <c r="CA1487" s="1"/>
      <c r="CB1487" s="1"/>
      <c r="CC1487" s="1"/>
      <c r="CD1487" s="1"/>
      <c r="CE1487" s="1"/>
      <c r="CF1487" s="1"/>
    </row>
    <row r="1488" spans="1:84" s="3" customFormat="1" ht="30" x14ac:dyDescent="0.2">
      <c r="A1488" s="17" t="s">
        <v>3921</v>
      </c>
      <c r="B1488" s="17" t="s">
        <v>45</v>
      </c>
      <c r="C1488" s="17">
        <v>2025</v>
      </c>
      <c r="D1488" s="17" t="str">
        <f t="array" ref="D1488">_xlfn.SWITCH(E1488,"Bagor","35.18.14","Sukomoro",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8" s="226" t="s">
        <v>162</v>
      </c>
      <c r="F1488" s="159" t="s">
        <v>3500</v>
      </c>
      <c r="G1488" s="219" t="s">
        <v>3501</v>
      </c>
      <c r="H1488" s="227" t="s">
        <v>31</v>
      </c>
      <c r="I1488" s="228">
        <v>0</v>
      </c>
      <c r="J1488" s="228">
        <v>1</v>
      </c>
      <c r="K1488" s="226">
        <v>1</v>
      </c>
      <c r="L1488" s="229">
        <v>35000000</v>
      </c>
      <c r="M1488" s="150" t="s">
        <v>3502</v>
      </c>
      <c r="N1488" s="230">
        <v>35</v>
      </c>
      <c r="O1488" s="231" t="s">
        <v>422</v>
      </c>
      <c r="P1488" s="232">
        <v>1000000</v>
      </c>
      <c r="Q1488" s="231" t="s">
        <v>826</v>
      </c>
      <c r="R1488" s="230">
        <v>100</v>
      </c>
      <c r="S1488" s="234" t="s">
        <v>422</v>
      </c>
      <c r="T1488" s="235">
        <v>500000</v>
      </c>
      <c r="U1488" s="226" t="s">
        <v>22</v>
      </c>
      <c r="V1488" s="226" t="s">
        <v>3443</v>
      </c>
      <c r="W1488" s="226">
        <v>3</v>
      </c>
      <c r="X1488" s="226"/>
      <c r="Y1488" s="226"/>
      <c r="Z1488" s="226"/>
      <c r="AA1488" s="226"/>
      <c r="AB1488" s="226"/>
      <c r="AC1488" s="226"/>
      <c r="AE1488" s="1"/>
      <c r="AF1488" s="2"/>
      <c r="AG1488" s="1"/>
      <c r="AH1488" s="1"/>
      <c r="AI1488" s="1"/>
      <c r="AJ1488" s="1"/>
      <c r="AK1488" s="1"/>
      <c r="AL1488" s="1"/>
      <c r="AM1488" s="1"/>
      <c r="AN1488" s="1"/>
      <c r="AO1488" s="1"/>
      <c r="AP1488" s="1"/>
      <c r="AQ1488" s="1"/>
      <c r="AR1488" s="1"/>
      <c r="AS1488" s="1"/>
      <c r="AT1488" s="1"/>
      <c r="AU1488" s="1"/>
      <c r="AV1488" s="1"/>
      <c r="AW1488" s="1"/>
      <c r="AX1488" s="1"/>
      <c r="AY1488" s="1"/>
      <c r="AZ1488" s="1"/>
      <c r="BA1488" s="1"/>
      <c r="BB1488" s="1"/>
      <c r="BC1488" s="1"/>
      <c r="BD1488" s="1"/>
      <c r="BE1488" s="1"/>
      <c r="BF1488" s="1"/>
      <c r="BG1488" s="1"/>
      <c r="BH1488" s="1"/>
      <c r="BI1488" s="1"/>
      <c r="BJ1488" s="1"/>
      <c r="BK1488" s="1"/>
      <c r="BL1488" s="1"/>
      <c r="BM1488" s="1"/>
      <c r="BN1488" s="1"/>
      <c r="BO1488" s="1"/>
      <c r="BP1488" s="1"/>
      <c r="BQ1488" s="1"/>
      <c r="BR1488" s="1"/>
      <c r="BS1488" s="1"/>
      <c r="BT1488" s="1"/>
      <c r="BU1488" s="1"/>
      <c r="BV1488" s="1"/>
      <c r="BW1488" s="1"/>
      <c r="BX1488" s="1"/>
      <c r="BY1488" s="1"/>
      <c r="BZ1488" s="1"/>
      <c r="CA1488" s="1"/>
      <c r="CB1488" s="1"/>
      <c r="CC1488" s="1"/>
      <c r="CD1488" s="1"/>
      <c r="CE1488" s="1"/>
      <c r="CF1488" s="1"/>
    </row>
    <row r="1489" spans="1:84" s="3" customFormat="1" ht="30" x14ac:dyDescent="0.2">
      <c r="A1489" s="17" t="s">
        <v>3921</v>
      </c>
      <c r="B1489" s="17" t="s">
        <v>45</v>
      </c>
      <c r="C1489" s="17">
        <v>2025</v>
      </c>
      <c r="D1489" s="17" t="str">
        <f t="array" ref="D1489">_xlfn.SWITCH(E1489,"Bagor","35.18.14","Sukomoro",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9" s="226" t="s">
        <v>162</v>
      </c>
      <c r="F1489" s="159" t="s">
        <v>3479</v>
      </c>
      <c r="G1489" s="219" t="s">
        <v>3503</v>
      </c>
      <c r="H1489" s="227" t="s">
        <v>31</v>
      </c>
      <c r="I1489" s="228">
        <v>0</v>
      </c>
      <c r="J1489" s="228">
        <v>1</v>
      </c>
      <c r="K1489" s="226">
        <v>1</v>
      </c>
      <c r="L1489" s="229">
        <v>45000000</v>
      </c>
      <c r="M1489" s="150" t="s">
        <v>3504</v>
      </c>
      <c r="N1489" s="230">
        <v>35</v>
      </c>
      <c r="O1489" s="231" t="s">
        <v>422</v>
      </c>
      <c r="P1489" s="232">
        <v>1000000</v>
      </c>
      <c r="Q1489" s="231" t="s">
        <v>826</v>
      </c>
      <c r="R1489" s="230">
        <v>100</v>
      </c>
      <c r="S1489" s="234" t="s">
        <v>422</v>
      </c>
      <c r="T1489" s="235">
        <v>500000</v>
      </c>
      <c r="U1489" s="226" t="s">
        <v>22</v>
      </c>
      <c r="V1489" s="226" t="s">
        <v>3443</v>
      </c>
      <c r="W1489" s="226">
        <v>3</v>
      </c>
      <c r="X1489" s="226"/>
      <c r="Y1489" s="226"/>
      <c r="Z1489" s="226"/>
      <c r="AA1489" s="226"/>
      <c r="AB1489" s="226"/>
      <c r="AC1489" s="226"/>
      <c r="AE1489" s="1"/>
      <c r="AF1489" s="2"/>
      <c r="AG1489" s="1"/>
      <c r="AH1489" s="1"/>
      <c r="AI1489" s="1"/>
      <c r="AJ1489" s="1"/>
      <c r="AK1489" s="1"/>
      <c r="AL1489" s="1"/>
      <c r="AM1489" s="1"/>
      <c r="AN1489" s="1"/>
      <c r="AO1489" s="1"/>
      <c r="AP1489" s="1"/>
      <c r="AQ1489" s="1"/>
      <c r="AR1489" s="1"/>
      <c r="AS1489" s="1"/>
      <c r="AT1489" s="1"/>
      <c r="AU1489" s="1"/>
      <c r="AV1489" s="1"/>
      <c r="AW1489" s="1"/>
      <c r="AX1489" s="1"/>
      <c r="AY1489" s="1"/>
      <c r="AZ1489" s="1"/>
      <c r="BA1489" s="1"/>
      <c r="BB1489" s="1"/>
      <c r="BC1489" s="1"/>
      <c r="BD1489" s="1"/>
      <c r="BE1489" s="1"/>
      <c r="BF1489" s="1"/>
      <c r="BG1489" s="1"/>
      <c r="BH1489" s="1"/>
      <c r="BI1489" s="1"/>
      <c r="BJ1489" s="1"/>
      <c r="BK1489" s="1"/>
      <c r="BL1489" s="1"/>
      <c r="BM1489" s="1"/>
      <c r="BN1489" s="1"/>
      <c r="BO1489" s="1"/>
      <c r="BP1489" s="1"/>
      <c r="BQ1489" s="1"/>
      <c r="BR1489" s="1"/>
      <c r="BS1489" s="1"/>
      <c r="BT1489" s="1"/>
      <c r="BU1489" s="1"/>
      <c r="BV1489" s="1"/>
      <c r="BW1489" s="1"/>
      <c r="BX1489" s="1"/>
      <c r="BY1489" s="1"/>
      <c r="BZ1489" s="1"/>
      <c r="CA1489" s="1"/>
      <c r="CB1489" s="1"/>
      <c r="CC1489" s="1"/>
      <c r="CD1489" s="1"/>
      <c r="CE1489" s="1"/>
      <c r="CF1489" s="1"/>
    </row>
    <row r="1490" spans="1:84" s="3" customFormat="1" ht="30" x14ac:dyDescent="0.2">
      <c r="A1490" s="17" t="s">
        <v>3921</v>
      </c>
      <c r="B1490" s="17" t="s">
        <v>45</v>
      </c>
      <c r="C1490" s="17">
        <v>2025</v>
      </c>
      <c r="D1490" s="17" t="str">
        <f t="array" ref="D1490">_xlfn.SWITCH(E1490,"Bagor","35.18.14","Sukomoro",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0" s="226" t="s">
        <v>162</v>
      </c>
      <c r="F1490" s="159" t="s">
        <v>3479</v>
      </c>
      <c r="G1490" s="219" t="s">
        <v>3505</v>
      </c>
      <c r="H1490" s="227" t="s">
        <v>31</v>
      </c>
      <c r="I1490" s="228">
        <v>1</v>
      </c>
      <c r="J1490" s="228">
        <v>0</v>
      </c>
      <c r="K1490" s="226">
        <v>1</v>
      </c>
      <c r="L1490" s="229">
        <v>3500000</v>
      </c>
      <c r="M1490" s="150" t="s">
        <v>3506</v>
      </c>
      <c r="N1490" s="230">
        <v>1000</v>
      </c>
      <c r="O1490" s="231" t="s">
        <v>3033</v>
      </c>
      <c r="P1490" s="232">
        <v>1500000</v>
      </c>
      <c r="Q1490" s="231" t="s">
        <v>1642</v>
      </c>
      <c r="R1490" s="230">
        <v>150</v>
      </c>
      <c r="S1490" s="234" t="s">
        <v>422</v>
      </c>
      <c r="T1490" s="235">
        <v>200000</v>
      </c>
      <c r="U1490" s="226" t="s">
        <v>22</v>
      </c>
      <c r="V1490" s="226" t="s">
        <v>3507</v>
      </c>
      <c r="W1490" s="226">
        <v>1</v>
      </c>
      <c r="X1490" s="226" t="s">
        <v>3508</v>
      </c>
      <c r="Y1490" s="226"/>
      <c r="Z1490" s="226"/>
      <c r="AA1490" s="226"/>
      <c r="AB1490" s="226"/>
      <c r="AC1490" s="226"/>
      <c r="AE1490" s="1"/>
      <c r="AF1490" s="2"/>
      <c r="AG1490" s="1"/>
      <c r="AH1490" s="1"/>
      <c r="AI1490" s="1"/>
      <c r="AJ1490" s="1"/>
      <c r="AK1490" s="1"/>
      <c r="AL1490" s="1"/>
      <c r="AM1490" s="1"/>
      <c r="AN1490" s="1"/>
      <c r="AO1490" s="1"/>
      <c r="AP1490" s="1"/>
      <c r="AQ1490" s="1"/>
      <c r="AR1490" s="1"/>
      <c r="AS1490" s="1"/>
      <c r="AT1490" s="1"/>
      <c r="AU1490" s="1"/>
      <c r="AV1490" s="1"/>
      <c r="AW1490" s="1"/>
      <c r="AX1490" s="1"/>
      <c r="AY1490" s="1"/>
      <c r="AZ1490" s="1"/>
      <c r="BA1490" s="1"/>
      <c r="BB1490" s="1"/>
      <c r="BC1490" s="1"/>
      <c r="BD1490" s="1"/>
      <c r="BE1490" s="1"/>
      <c r="BF1490" s="1"/>
      <c r="BG1490" s="1"/>
      <c r="BH1490" s="1"/>
      <c r="BI1490" s="1"/>
      <c r="BJ1490" s="1"/>
      <c r="BK1490" s="1"/>
      <c r="BL1490" s="1"/>
      <c r="BM1490" s="1"/>
      <c r="BN1490" s="1"/>
      <c r="BO1490" s="1"/>
      <c r="BP1490" s="1"/>
      <c r="BQ1490" s="1"/>
      <c r="BR1490" s="1"/>
      <c r="BS1490" s="1"/>
      <c r="BT1490" s="1"/>
      <c r="BU1490" s="1"/>
      <c r="BV1490" s="1"/>
      <c r="BW1490" s="1"/>
      <c r="BX1490" s="1"/>
      <c r="BY1490" s="1"/>
      <c r="BZ1490" s="1"/>
      <c r="CA1490" s="1"/>
      <c r="CB1490" s="1"/>
      <c r="CC1490" s="1"/>
      <c r="CD1490" s="1"/>
      <c r="CE1490" s="1"/>
      <c r="CF1490" s="1"/>
    </row>
    <row r="1491" spans="1:84" s="3" customFormat="1" ht="30" x14ac:dyDescent="0.2">
      <c r="A1491" s="17" t="s">
        <v>3921</v>
      </c>
      <c r="B1491" s="17" t="s">
        <v>45</v>
      </c>
      <c r="C1491" s="17">
        <v>2025</v>
      </c>
      <c r="D1491" s="17" t="str">
        <f t="array" ref="D1491">_xlfn.SWITCH(E1491,"Bagor","35.18.14","Sukomoro",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1" s="226" t="s">
        <v>162</v>
      </c>
      <c r="F1491" s="159" t="s">
        <v>3509</v>
      </c>
      <c r="G1491" s="219" t="s">
        <v>3510</v>
      </c>
      <c r="H1491" s="227" t="s">
        <v>31</v>
      </c>
      <c r="I1491" s="228">
        <v>0</v>
      </c>
      <c r="J1491" s="228">
        <v>4</v>
      </c>
      <c r="K1491" s="226">
        <v>4</v>
      </c>
      <c r="L1491" s="229">
        <v>60000000</v>
      </c>
      <c r="M1491" s="150" t="s">
        <v>3511</v>
      </c>
      <c r="N1491" s="230">
        <v>750</v>
      </c>
      <c r="O1491" s="231" t="s">
        <v>3492</v>
      </c>
      <c r="P1491" s="232">
        <v>5000000</v>
      </c>
      <c r="Q1491" s="231" t="s">
        <v>3049</v>
      </c>
      <c r="R1491" s="230">
        <v>450</v>
      </c>
      <c r="S1491" s="234" t="s">
        <v>3487</v>
      </c>
      <c r="T1491" s="235">
        <v>3000000</v>
      </c>
      <c r="U1491" s="226" t="s">
        <v>22</v>
      </c>
      <c r="V1491" s="226" t="s">
        <v>3475</v>
      </c>
      <c r="W1491" s="226">
        <v>60</v>
      </c>
      <c r="X1491" s="226" t="s">
        <v>3014</v>
      </c>
      <c r="Y1491" s="226"/>
      <c r="Z1491" s="226"/>
      <c r="AA1491" s="226"/>
      <c r="AB1491" s="226"/>
      <c r="AC1491" s="226"/>
      <c r="AE1491" s="1"/>
      <c r="AF1491" s="2"/>
      <c r="AG1491" s="1"/>
      <c r="AH1491" s="1"/>
      <c r="AI1491" s="1"/>
      <c r="AJ1491" s="1"/>
      <c r="AK1491" s="1"/>
      <c r="AL1491" s="1"/>
      <c r="AM1491" s="1"/>
      <c r="AN1491" s="1"/>
      <c r="AO1491" s="1"/>
      <c r="AP1491" s="1"/>
      <c r="AQ1491" s="1"/>
      <c r="AR1491" s="1"/>
      <c r="AS1491" s="1"/>
      <c r="AT1491" s="1"/>
      <c r="AU1491" s="1"/>
      <c r="AV1491" s="1"/>
      <c r="AW1491" s="1"/>
      <c r="AX1491" s="1"/>
      <c r="AY1491" s="1"/>
      <c r="AZ1491" s="1"/>
      <c r="BA1491" s="1"/>
      <c r="BB1491" s="1"/>
      <c r="BC1491" s="1"/>
      <c r="BD1491" s="1"/>
      <c r="BE1491" s="1"/>
      <c r="BF1491" s="1"/>
      <c r="BG1491" s="1"/>
      <c r="BH1491" s="1"/>
      <c r="BI1491" s="1"/>
      <c r="BJ1491" s="1"/>
      <c r="BK1491" s="1"/>
      <c r="BL1491" s="1"/>
      <c r="BM1491" s="1"/>
      <c r="BN1491" s="1"/>
      <c r="BO1491" s="1"/>
      <c r="BP1491" s="1"/>
      <c r="BQ1491" s="1"/>
      <c r="BR1491" s="1"/>
      <c r="BS1491" s="1"/>
      <c r="BT1491" s="1"/>
      <c r="BU1491" s="1"/>
      <c r="BV1491" s="1"/>
      <c r="BW1491" s="1"/>
      <c r="BX1491" s="1"/>
      <c r="BY1491" s="1"/>
      <c r="BZ1491" s="1"/>
      <c r="CA1491" s="1"/>
      <c r="CB1491" s="1"/>
      <c r="CC1491" s="1"/>
      <c r="CD1491" s="1"/>
      <c r="CE1491" s="1"/>
      <c r="CF1491" s="1"/>
    </row>
    <row r="1492" spans="1:84" s="3" customFormat="1" ht="30" x14ac:dyDescent="0.2">
      <c r="A1492" s="17" t="s">
        <v>3921</v>
      </c>
      <c r="B1492" s="17" t="s">
        <v>45</v>
      </c>
      <c r="C1492" s="17">
        <v>2025</v>
      </c>
      <c r="D1492" s="17" t="str">
        <f t="array" ref="D1492">_xlfn.SWITCH(E1492,"Bagor","35.18.14","Sukomoro",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2" s="226" t="s">
        <v>162</v>
      </c>
      <c r="F1492" s="159" t="s">
        <v>3509</v>
      </c>
      <c r="G1492" s="219" t="s">
        <v>3512</v>
      </c>
      <c r="H1492" s="227" t="s">
        <v>31</v>
      </c>
      <c r="I1492" s="228">
        <v>0</v>
      </c>
      <c r="J1492" s="228">
        <v>2</v>
      </c>
      <c r="K1492" s="226">
        <v>2</v>
      </c>
      <c r="L1492" s="229">
        <v>45000000</v>
      </c>
      <c r="M1492" s="150" t="s">
        <v>3513</v>
      </c>
      <c r="N1492" s="230">
        <v>3000</v>
      </c>
      <c r="O1492" s="231" t="s">
        <v>3033</v>
      </c>
      <c r="P1492" s="232">
        <v>5000000</v>
      </c>
      <c r="Q1492" s="231" t="s">
        <v>1642</v>
      </c>
      <c r="R1492" s="230">
        <v>100</v>
      </c>
      <c r="S1492" s="234" t="s">
        <v>422</v>
      </c>
      <c r="T1492" s="235">
        <v>1500000</v>
      </c>
      <c r="U1492" s="226" t="s">
        <v>22</v>
      </c>
      <c r="V1492" s="226" t="s">
        <v>50</v>
      </c>
      <c r="W1492" s="226">
        <v>1</v>
      </c>
      <c r="X1492" s="226" t="s">
        <v>3450</v>
      </c>
      <c r="Y1492" s="226"/>
      <c r="Z1492" s="226"/>
      <c r="AA1492" s="226"/>
      <c r="AB1492" s="226"/>
      <c r="AC1492" s="226"/>
      <c r="AE1492" s="1"/>
      <c r="AF1492" s="2"/>
      <c r="AG1492" s="1"/>
      <c r="AH1492" s="1"/>
      <c r="AI1492" s="1"/>
      <c r="AJ1492" s="1"/>
      <c r="AK1492" s="1"/>
      <c r="AL1492" s="1"/>
      <c r="AM1492" s="1"/>
      <c r="AN1492" s="1"/>
      <c r="AO1492" s="1"/>
      <c r="AP1492" s="1"/>
      <c r="AQ1492" s="1"/>
      <c r="AR1492" s="1"/>
      <c r="AS1492" s="1"/>
      <c r="AT1492" s="1"/>
      <c r="AU1492" s="1"/>
      <c r="AV1492" s="1"/>
      <c r="AW1492" s="1"/>
      <c r="AX1492" s="1"/>
      <c r="AY1492" s="1"/>
      <c r="AZ1492" s="1"/>
      <c r="BA1492" s="1"/>
      <c r="BB1492" s="1"/>
      <c r="BC1492" s="1"/>
      <c r="BD1492" s="1"/>
      <c r="BE1492" s="1"/>
      <c r="BF1492" s="1"/>
      <c r="BG1492" s="1"/>
      <c r="BH1492" s="1"/>
      <c r="BI1492" s="1"/>
      <c r="BJ1492" s="1"/>
      <c r="BK1492" s="1"/>
      <c r="BL1492" s="1"/>
      <c r="BM1492" s="1"/>
      <c r="BN1492" s="1"/>
      <c r="BO1492" s="1"/>
      <c r="BP1492" s="1"/>
      <c r="BQ1492" s="1"/>
      <c r="BR1492" s="1"/>
      <c r="BS1492" s="1"/>
      <c r="BT1492" s="1"/>
      <c r="BU1492" s="1"/>
      <c r="BV1492" s="1"/>
      <c r="BW1492" s="1"/>
      <c r="BX1492" s="1"/>
      <c r="BY1492" s="1"/>
      <c r="BZ1492" s="1"/>
      <c r="CA1492" s="1"/>
      <c r="CB1492" s="1"/>
      <c r="CC1492" s="1"/>
      <c r="CD1492" s="1"/>
      <c r="CE1492" s="1"/>
      <c r="CF1492" s="1"/>
    </row>
    <row r="1493" spans="1:84" s="3" customFormat="1" ht="30" x14ac:dyDescent="0.2">
      <c r="A1493" s="17" t="s">
        <v>3921</v>
      </c>
      <c r="B1493" s="17" t="s">
        <v>45</v>
      </c>
      <c r="C1493" s="17">
        <v>2025</v>
      </c>
      <c r="D1493" s="17" t="str">
        <f t="array" ref="D1493">_xlfn.SWITCH(E1493,"Bagor","35.18.14","Sukomoro",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3" s="226" t="s">
        <v>162</v>
      </c>
      <c r="F1493" s="159" t="s">
        <v>3509</v>
      </c>
      <c r="G1493" s="219" t="s">
        <v>3514</v>
      </c>
      <c r="H1493" s="227" t="s">
        <v>31</v>
      </c>
      <c r="I1493" s="228">
        <v>0</v>
      </c>
      <c r="J1493" s="228">
        <v>1</v>
      </c>
      <c r="K1493" s="226">
        <v>1</v>
      </c>
      <c r="L1493" s="229">
        <v>60000000</v>
      </c>
      <c r="M1493" s="150" t="s">
        <v>3442</v>
      </c>
      <c r="N1493" s="230">
        <v>300</v>
      </c>
      <c r="O1493" s="231" t="s">
        <v>3033</v>
      </c>
      <c r="P1493" s="232">
        <v>2500000</v>
      </c>
      <c r="Q1493" s="231" t="s">
        <v>826</v>
      </c>
      <c r="R1493" s="230">
        <v>30</v>
      </c>
      <c r="S1493" s="234" t="s">
        <v>422</v>
      </c>
      <c r="T1493" s="235">
        <v>250000</v>
      </c>
      <c r="U1493" s="226" t="s">
        <v>22</v>
      </c>
      <c r="V1493" s="226" t="s">
        <v>3475</v>
      </c>
      <c r="W1493" s="226">
        <v>6</v>
      </c>
      <c r="X1493" s="226" t="s">
        <v>3014</v>
      </c>
      <c r="Y1493" s="226"/>
      <c r="Z1493" s="226"/>
      <c r="AA1493" s="226"/>
      <c r="AB1493" s="226"/>
      <c r="AC1493" s="226"/>
      <c r="AE1493" s="1"/>
      <c r="AF1493" s="2"/>
      <c r="AG1493" s="1"/>
      <c r="AH1493" s="1"/>
      <c r="AI1493" s="1"/>
      <c r="AJ1493" s="1"/>
      <c r="AK1493" s="1"/>
      <c r="AL1493" s="1"/>
      <c r="AM1493" s="1"/>
      <c r="AN1493" s="1"/>
      <c r="AO1493" s="1"/>
      <c r="AP1493" s="1"/>
      <c r="AQ1493" s="1"/>
      <c r="AR1493" s="1"/>
      <c r="AS1493" s="1"/>
      <c r="AT1493" s="1"/>
      <c r="AU1493" s="1"/>
      <c r="AV1493" s="1"/>
      <c r="AW1493" s="1"/>
      <c r="AX1493" s="1"/>
      <c r="AY1493" s="1"/>
      <c r="AZ1493" s="1"/>
      <c r="BA1493" s="1"/>
      <c r="BB1493" s="1"/>
      <c r="BC1493" s="1"/>
      <c r="BD1493" s="1"/>
      <c r="BE1493" s="1"/>
      <c r="BF1493" s="1"/>
      <c r="BG1493" s="1"/>
      <c r="BH1493" s="1"/>
      <c r="BI1493" s="1"/>
      <c r="BJ1493" s="1"/>
      <c r="BK1493" s="1"/>
      <c r="BL1493" s="1"/>
      <c r="BM1493" s="1"/>
      <c r="BN1493" s="1"/>
      <c r="BO1493" s="1"/>
      <c r="BP1493" s="1"/>
      <c r="BQ1493" s="1"/>
      <c r="BR1493" s="1"/>
      <c r="BS1493" s="1"/>
      <c r="BT1493" s="1"/>
      <c r="BU1493" s="1"/>
      <c r="BV1493" s="1"/>
      <c r="BW1493" s="1"/>
      <c r="BX1493" s="1"/>
      <c r="BY1493" s="1"/>
      <c r="BZ1493" s="1"/>
      <c r="CA1493" s="1"/>
      <c r="CB1493" s="1"/>
      <c r="CC1493" s="1"/>
      <c r="CD1493" s="1"/>
      <c r="CE1493" s="1"/>
      <c r="CF1493" s="1"/>
    </row>
    <row r="1494" spans="1:84" s="3" customFormat="1" ht="30" x14ac:dyDescent="0.2">
      <c r="A1494" s="17" t="s">
        <v>3921</v>
      </c>
      <c r="B1494" s="17" t="s">
        <v>45</v>
      </c>
      <c r="C1494" s="17">
        <v>2025</v>
      </c>
      <c r="D1494" s="17" t="str">
        <f t="array" ref="D1494">_xlfn.SWITCH(E1494,"Bagor","35.18.14","Sukomoro",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4" s="226" t="s">
        <v>162</v>
      </c>
      <c r="F1494" s="159" t="s">
        <v>3515</v>
      </c>
      <c r="G1494" s="219" t="s">
        <v>3516</v>
      </c>
      <c r="H1494" s="227" t="s">
        <v>31</v>
      </c>
      <c r="I1494" s="228">
        <v>0</v>
      </c>
      <c r="J1494" s="228">
        <v>1</v>
      </c>
      <c r="K1494" s="226">
        <v>1</v>
      </c>
      <c r="L1494" s="229">
        <v>60000000</v>
      </c>
      <c r="M1494" s="150" t="s">
        <v>3517</v>
      </c>
      <c r="N1494" s="230">
        <v>1000</v>
      </c>
      <c r="O1494" s="231" t="s">
        <v>3033</v>
      </c>
      <c r="P1494" s="232">
        <v>2500000</v>
      </c>
      <c r="Q1494" s="231" t="s">
        <v>1642</v>
      </c>
      <c r="R1494" s="230">
        <v>80</v>
      </c>
      <c r="S1494" s="234" t="s">
        <v>422</v>
      </c>
      <c r="T1494" s="235">
        <v>1500000</v>
      </c>
      <c r="U1494" s="226" t="s">
        <v>22</v>
      </c>
      <c r="V1494" s="226" t="s">
        <v>50</v>
      </c>
      <c r="W1494" s="226">
        <v>1</v>
      </c>
      <c r="X1494" s="226" t="s">
        <v>3450</v>
      </c>
      <c r="Y1494" s="226"/>
      <c r="Z1494" s="226"/>
      <c r="AA1494" s="226"/>
      <c r="AB1494" s="226"/>
      <c r="AC1494" s="226"/>
      <c r="AE1494" s="1"/>
      <c r="AF1494" s="2"/>
      <c r="AG1494" s="1"/>
      <c r="AH1494" s="1"/>
      <c r="AI1494" s="1"/>
      <c r="AJ1494" s="1"/>
      <c r="AK1494" s="1"/>
      <c r="AL1494" s="1"/>
      <c r="AM1494" s="1"/>
      <c r="AN1494" s="1"/>
      <c r="AO1494" s="1"/>
      <c r="AP1494" s="1"/>
      <c r="AQ1494" s="1"/>
      <c r="AR1494" s="1"/>
      <c r="AS1494" s="1"/>
      <c r="AT1494" s="1"/>
      <c r="AU1494" s="1"/>
      <c r="AV1494" s="1"/>
      <c r="AW1494" s="1"/>
      <c r="AX1494" s="1"/>
      <c r="AY1494" s="1"/>
      <c r="AZ1494" s="1"/>
      <c r="BA1494" s="1"/>
      <c r="BB1494" s="1"/>
      <c r="BC1494" s="1"/>
      <c r="BD1494" s="1"/>
      <c r="BE1494" s="1"/>
      <c r="BF1494" s="1"/>
      <c r="BG1494" s="1"/>
      <c r="BH1494" s="1"/>
      <c r="BI1494" s="1"/>
      <c r="BJ1494" s="1"/>
      <c r="BK1494" s="1"/>
      <c r="BL1494" s="1"/>
      <c r="BM1494" s="1"/>
      <c r="BN1494" s="1"/>
      <c r="BO1494" s="1"/>
      <c r="BP1494" s="1"/>
      <c r="BQ1494" s="1"/>
      <c r="BR1494" s="1"/>
      <c r="BS1494" s="1"/>
      <c r="BT1494" s="1"/>
      <c r="BU1494" s="1"/>
      <c r="BV1494" s="1"/>
      <c r="BW1494" s="1"/>
      <c r="BX1494" s="1"/>
      <c r="BY1494" s="1"/>
      <c r="BZ1494" s="1"/>
      <c r="CA1494" s="1"/>
      <c r="CB1494" s="1"/>
      <c r="CC1494" s="1"/>
      <c r="CD1494" s="1"/>
      <c r="CE1494" s="1"/>
      <c r="CF1494" s="1"/>
    </row>
    <row r="1495" spans="1:84" s="3" customFormat="1" ht="20" x14ac:dyDescent="0.2">
      <c r="A1495" s="17" t="s">
        <v>3921</v>
      </c>
      <c r="B1495" s="17" t="s">
        <v>45</v>
      </c>
      <c r="C1495" s="17">
        <v>2025</v>
      </c>
      <c r="D1495" s="17" t="str">
        <f t="array" ref="D1495">_xlfn.SWITCH(E1495,"Bagor","35.18.14","Sukomoro",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5" s="226" t="s">
        <v>162</v>
      </c>
      <c r="F1495" s="159" t="s">
        <v>3518</v>
      </c>
      <c r="G1495" s="219" t="s">
        <v>3519</v>
      </c>
      <c r="H1495" s="227" t="s">
        <v>31</v>
      </c>
      <c r="I1495" s="228">
        <v>0</v>
      </c>
      <c r="J1495" s="228">
        <v>1</v>
      </c>
      <c r="K1495" s="226">
        <v>1</v>
      </c>
      <c r="L1495" s="229">
        <v>75000000</v>
      </c>
      <c r="M1495" s="150" t="s">
        <v>3520</v>
      </c>
      <c r="N1495" s="230">
        <v>750</v>
      </c>
      <c r="O1495" s="231" t="s">
        <v>3033</v>
      </c>
      <c r="P1495" s="232">
        <v>2000000</v>
      </c>
      <c r="Q1495" s="231" t="s">
        <v>1642</v>
      </c>
      <c r="R1495" s="230">
        <v>35</v>
      </c>
      <c r="S1495" s="234" t="s">
        <v>422</v>
      </c>
      <c r="T1495" s="235">
        <v>450000</v>
      </c>
      <c r="U1495" s="226" t="s">
        <v>22</v>
      </c>
      <c r="V1495" s="226" t="s">
        <v>50</v>
      </c>
      <c r="W1495" s="226">
        <v>0.5</v>
      </c>
      <c r="X1495" s="226" t="s">
        <v>3450</v>
      </c>
      <c r="Y1495" s="226"/>
      <c r="Z1495" s="226"/>
      <c r="AA1495" s="226"/>
      <c r="AB1495" s="226"/>
      <c r="AC1495" s="226"/>
      <c r="AE1495" s="1"/>
      <c r="AF1495" s="2"/>
      <c r="AG1495" s="1"/>
      <c r="AH1495" s="1"/>
      <c r="AI1495" s="1"/>
      <c r="AJ1495" s="1"/>
      <c r="AK1495" s="1"/>
      <c r="AL1495" s="1"/>
      <c r="AM1495" s="1"/>
      <c r="AN1495" s="1"/>
      <c r="AO1495" s="1"/>
      <c r="AP1495" s="1"/>
      <c r="AQ1495" s="1"/>
      <c r="AR1495" s="1"/>
      <c r="AS1495" s="1"/>
      <c r="AT1495" s="1"/>
      <c r="AU1495" s="1"/>
      <c r="AV1495" s="1"/>
      <c r="AW1495" s="1"/>
      <c r="AX1495" s="1"/>
      <c r="AY1495" s="1"/>
      <c r="AZ1495" s="1"/>
      <c r="BA1495" s="1"/>
      <c r="BB1495" s="1"/>
      <c r="BC1495" s="1"/>
      <c r="BD1495" s="1"/>
      <c r="BE1495" s="1"/>
      <c r="BF1495" s="1"/>
      <c r="BG1495" s="1"/>
      <c r="BH1495" s="1"/>
      <c r="BI1495" s="1"/>
      <c r="BJ1495" s="1"/>
      <c r="BK1495" s="1"/>
      <c r="BL1495" s="1"/>
      <c r="BM1495" s="1"/>
      <c r="BN1495" s="1"/>
      <c r="BO1495" s="1"/>
      <c r="BP1495" s="1"/>
      <c r="BQ1495" s="1"/>
      <c r="BR1495" s="1"/>
      <c r="BS1495" s="1"/>
      <c r="BT1495" s="1"/>
      <c r="BU1495" s="1"/>
      <c r="BV1495" s="1"/>
      <c r="BW1495" s="1"/>
      <c r="BX1495" s="1"/>
      <c r="BY1495" s="1"/>
      <c r="BZ1495" s="1"/>
      <c r="CA1495" s="1"/>
      <c r="CB1495" s="1"/>
      <c r="CC1495" s="1"/>
      <c r="CD1495" s="1"/>
      <c r="CE1495" s="1"/>
      <c r="CF1495" s="1"/>
    </row>
    <row r="1496" spans="1:84" s="3" customFormat="1" ht="30" x14ac:dyDescent="0.2">
      <c r="A1496" s="17" t="s">
        <v>3921</v>
      </c>
      <c r="B1496" s="17" t="s">
        <v>45</v>
      </c>
      <c r="C1496" s="17">
        <v>2025</v>
      </c>
      <c r="D1496" s="17" t="str">
        <f t="array" ref="D1496">_xlfn.SWITCH(E1496,"Bagor","35.18.14","Sukomoro",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6" s="226" t="s">
        <v>162</v>
      </c>
      <c r="F1496" s="159" t="s">
        <v>3515</v>
      </c>
      <c r="G1496" s="219" t="s">
        <v>3521</v>
      </c>
      <c r="H1496" s="227" t="s">
        <v>31</v>
      </c>
      <c r="I1496" s="228">
        <v>0</v>
      </c>
      <c r="J1496" s="228">
        <v>1</v>
      </c>
      <c r="K1496" s="226">
        <v>1</v>
      </c>
      <c r="L1496" s="229">
        <v>50000000</v>
      </c>
      <c r="M1496" s="150" t="s">
        <v>3522</v>
      </c>
      <c r="N1496" s="230">
        <v>1000</v>
      </c>
      <c r="O1496" s="231" t="s">
        <v>3033</v>
      </c>
      <c r="P1496" s="232">
        <v>25000000</v>
      </c>
      <c r="Q1496" s="231" t="s">
        <v>1642</v>
      </c>
      <c r="R1496" s="230">
        <v>80</v>
      </c>
      <c r="S1496" s="234" t="s">
        <v>422</v>
      </c>
      <c r="T1496" s="235">
        <v>1500000</v>
      </c>
      <c r="U1496" s="226" t="s">
        <v>22</v>
      </c>
      <c r="V1496" s="226" t="s">
        <v>50</v>
      </c>
      <c r="W1496" s="226">
        <v>1</v>
      </c>
      <c r="X1496" s="226" t="s">
        <v>3450</v>
      </c>
      <c r="Y1496" s="226"/>
      <c r="Z1496" s="226"/>
      <c r="AA1496" s="226"/>
      <c r="AB1496" s="226"/>
      <c r="AC1496" s="226"/>
      <c r="AE1496" s="1"/>
      <c r="AF1496" s="2"/>
      <c r="AG1496" s="1"/>
      <c r="AH1496" s="1"/>
      <c r="AI1496" s="1"/>
      <c r="AJ1496" s="1"/>
      <c r="AK1496" s="1"/>
      <c r="AL1496" s="1"/>
      <c r="AM1496" s="1"/>
      <c r="AN1496" s="1"/>
      <c r="AO1496" s="1"/>
      <c r="AP1496" s="1"/>
      <c r="AQ1496" s="1"/>
      <c r="AR1496" s="1"/>
      <c r="AS1496" s="1"/>
      <c r="AT1496" s="1"/>
      <c r="AU1496" s="1"/>
      <c r="AV1496" s="1"/>
      <c r="AW1496" s="1"/>
      <c r="AX1496" s="1"/>
      <c r="AY1496" s="1"/>
      <c r="AZ1496" s="1"/>
      <c r="BA1496" s="1"/>
      <c r="BB1496" s="1"/>
      <c r="BC1496" s="1"/>
      <c r="BD1496" s="1"/>
      <c r="BE1496" s="1"/>
      <c r="BF1496" s="1"/>
      <c r="BG1496" s="1"/>
      <c r="BH1496" s="1"/>
      <c r="BI1496" s="1"/>
      <c r="BJ1496" s="1"/>
      <c r="BK1496" s="1"/>
      <c r="BL1496" s="1"/>
      <c r="BM1496" s="1"/>
      <c r="BN1496" s="1"/>
      <c r="BO1496" s="1"/>
      <c r="BP1496" s="1"/>
      <c r="BQ1496" s="1"/>
      <c r="BR1496" s="1"/>
      <c r="BS1496" s="1"/>
      <c r="BT1496" s="1"/>
      <c r="BU1496" s="1"/>
      <c r="BV1496" s="1"/>
      <c r="BW1496" s="1"/>
      <c r="BX1496" s="1"/>
      <c r="BY1496" s="1"/>
      <c r="BZ1496" s="1"/>
      <c r="CA1496" s="1"/>
      <c r="CB1496" s="1"/>
      <c r="CC1496" s="1"/>
      <c r="CD1496" s="1"/>
      <c r="CE1496" s="1"/>
      <c r="CF1496" s="1"/>
    </row>
    <row r="1497" spans="1:84" s="3" customFormat="1" ht="20" x14ac:dyDescent="0.2">
      <c r="A1497" s="17" t="s">
        <v>3921</v>
      </c>
      <c r="B1497" s="17" t="s">
        <v>45</v>
      </c>
      <c r="C1497" s="17">
        <v>2025</v>
      </c>
      <c r="D1497" s="17" t="str">
        <f t="array" ref="D1497">_xlfn.SWITCH(E1497,"Bagor","35.18.14","Sukomoro",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7" s="226" t="s">
        <v>162</v>
      </c>
      <c r="F1497" s="159" t="s">
        <v>3523</v>
      </c>
      <c r="G1497" s="219" t="s">
        <v>3524</v>
      </c>
      <c r="H1497" s="227" t="s">
        <v>31</v>
      </c>
      <c r="I1497" s="228">
        <v>0</v>
      </c>
      <c r="J1497" s="228">
        <v>1</v>
      </c>
      <c r="K1497" s="226">
        <v>1</v>
      </c>
      <c r="L1497" s="229">
        <v>50000000</v>
      </c>
      <c r="M1497" s="150" t="s">
        <v>3478</v>
      </c>
      <c r="N1497" s="230">
        <v>1000</v>
      </c>
      <c r="O1497" s="231" t="s">
        <v>3033</v>
      </c>
      <c r="P1497" s="232">
        <v>10000000</v>
      </c>
      <c r="Q1497" s="231" t="s">
        <v>1642</v>
      </c>
      <c r="R1497" s="230">
        <v>750</v>
      </c>
      <c r="S1497" s="234" t="s">
        <v>422</v>
      </c>
      <c r="T1497" s="235">
        <v>9000000</v>
      </c>
      <c r="U1497" s="226" t="s">
        <v>22</v>
      </c>
      <c r="V1497" s="226" t="s">
        <v>50</v>
      </c>
      <c r="W1497" s="226">
        <v>0.5</v>
      </c>
      <c r="X1497" s="226"/>
      <c r="Y1497" s="226"/>
      <c r="Z1497" s="226"/>
      <c r="AA1497" s="226"/>
      <c r="AB1497" s="226"/>
      <c r="AC1497" s="226"/>
      <c r="AE1497" s="1"/>
      <c r="AF1497" s="2"/>
      <c r="AG1497" s="1"/>
      <c r="AH1497" s="1"/>
      <c r="AI1497" s="1"/>
      <c r="AJ1497" s="1"/>
      <c r="AK1497" s="1"/>
      <c r="AL1497" s="1"/>
      <c r="AM1497" s="1"/>
      <c r="AN1497" s="1"/>
      <c r="AO1497" s="1"/>
      <c r="AP1497" s="1"/>
      <c r="AQ1497" s="1"/>
      <c r="AR1497" s="1"/>
      <c r="AS1497" s="1"/>
      <c r="AT1497" s="1"/>
      <c r="AU1497" s="1"/>
      <c r="AV1497" s="1"/>
      <c r="AW1497" s="1"/>
      <c r="AX1497" s="1"/>
      <c r="AY1497" s="1"/>
      <c r="AZ1497" s="1"/>
      <c r="BA1497" s="1"/>
      <c r="BB1497" s="1"/>
      <c r="BC1497" s="1"/>
      <c r="BD1497" s="1"/>
      <c r="BE1497" s="1"/>
      <c r="BF1497" s="1"/>
      <c r="BG1497" s="1"/>
      <c r="BH1497" s="1"/>
      <c r="BI1497" s="1"/>
      <c r="BJ1497" s="1"/>
      <c r="BK1497" s="1"/>
      <c r="BL1497" s="1"/>
      <c r="BM1497" s="1"/>
      <c r="BN1497" s="1"/>
      <c r="BO1497" s="1"/>
      <c r="BP1497" s="1"/>
      <c r="BQ1497" s="1"/>
      <c r="BR1497" s="1"/>
      <c r="BS1497" s="1"/>
      <c r="BT1497" s="1"/>
      <c r="BU1497" s="1"/>
      <c r="BV1497" s="1"/>
      <c r="BW1497" s="1"/>
      <c r="BX1497" s="1"/>
      <c r="BY1497" s="1"/>
      <c r="BZ1497" s="1"/>
      <c r="CA1497" s="1"/>
      <c r="CB1497" s="1"/>
      <c r="CC1497" s="1"/>
      <c r="CD1497" s="1"/>
      <c r="CE1497" s="1"/>
      <c r="CF1497" s="1"/>
    </row>
    <row r="1498" spans="1:84" s="3" customFormat="1" ht="20" x14ac:dyDescent="0.2">
      <c r="A1498" s="17" t="s">
        <v>3921</v>
      </c>
      <c r="B1498" s="17" t="s">
        <v>45</v>
      </c>
      <c r="C1498" s="17">
        <v>2025</v>
      </c>
      <c r="D1498" s="17" t="str">
        <f t="array" ref="D1498">_xlfn.SWITCH(E1498,"Bagor","35.18.14","Sukomoro",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8" s="226" t="s">
        <v>162</v>
      </c>
      <c r="F1498" s="159" t="s">
        <v>3523</v>
      </c>
      <c r="G1498" s="219" t="s">
        <v>3525</v>
      </c>
      <c r="H1498" s="227" t="s">
        <v>31</v>
      </c>
      <c r="I1498" s="228">
        <v>7</v>
      </c>
      <c r="J1498" s="228">
        <v>0</v>
      </c>
      <c r="K1498" s="226">
        <v>7</v>
      </c>
      <c r="L1498" s="229">
        <v>60000000</v>
      </c>
      <c r="M1498" s="150" t="s">
        <v>3526</v>
      </c>
      <c r="N1498" s="230">
        <v>3000</v>
      </c>
      <c r="O1498" s="231" t="s">
        <v>3033</v>
      </c>
      <c r="P1498" s="232">
        <v>23000000</v>
      </c>
      <c r="Q1498" s="231" t="s">
        <v>1642</v>
      </c>
      <c r="R1498" s="230">
        <v>2</v>
      </c>
      <c r="S1498" s="234" t="s">
        <v>3527</v>
      </c>
      <c r="T1498" s="235">
        <v>20000000</v>
      </c>
      <c r="U1498" s="226" t="s">
        <v>22</v>
      </c>
      <c r="V1498" s="226" t="s">
        <v>50</v>
      </c>
      <c r="W1498" s="226">
        <v>2</v>
      </c>
      <c r="X1498" s="226" t="s">
        <v>3450</v>
      </c>
      <c r="Y1498" s="226"/>
      <c r="Z1498" s="226"/>
      <c r="AA1498" s="226"/>
      <c r="AB1498" s="226"/>
      <c r="AC1498" s="226"/>
      <c r="AE1498" s="1"/>
      <c r="AF1498" s="2"/>
      <c r="AG1498" s="1"/>
      <c r="AH1498" s="1"/>
      <c r="AI1498" s="1"/>
      <c r="AJ1498" s="1"/>
      <c r="AK1498" s="1"/>
      <c r="AL1498" s="1"/>
      <c r="AM1498" s="1"/>
      <c r="AN1498" s="1"/>
      <c r="AO1498" s="1"/>
      <c r="AP1498" s="1"/>
      <c r="AQ1498" s="1"/>
      <c r="AR1498" s="1"/>
      <c r="AS1498" s="1"/>
      <c r="AT1498" s="1"/>
      <c r="AU1498" s="1"/>
      <c r="AV1498" s="1"/>
      <c r="AW1498" s="1"/>
      <c r="AX1498" s="1"/>
      <c r="AY1498" s="1"/>
      <c r="AZ1498" s="1"/>
      <c r="BA1498" s="1"/>
      <c r="BB1498" s="1"/>
      <c r="BC1498" s="1"/>
      <c r="BD1498" s="1"/>
      <c r="BE1498" s="1"/>
      <c r="BF1498" s="1"/>
      <c r="BG1498" s="1"/>
      <c r="BH1498" s="1"/>
      <c r="BI1498" s="1"/>
      <c r="BJ1498" s="1"/>
      <c r="BK1498" s="1"/>
      <c r="BL1498" s="1"/>
      <c r="BM1498" s="1"/>
      <c r="BN1498" s="1"/>
      <c r="BO1498" s="1"/>
      <c r="BP1498" s="1"/>
      <c r="BQ1498" s="1"/>
      <c r="BR1498" s="1"/>
      <c r="BS1498" s="1"/>
      <c r="BT1498" s="1"/>
      <c r="BU1498" s="1"/>
      <c r="BV1498" s="1"/>
      <c r="BW1498" s="1"/>
      <c r="BX1498" s="1"/>
      <c r="BY1498" s="1"/>
      <c r="BZ1498" s="1"/>
      <c r="CA1498" s="1"/>
      <c r="CB1498" s="1"/>
      <c r="CC1498" s="1"/>
      <c r="CD1498" s="1"/>
      <c r="CE1498" s="1"/>
      <c r="CF1498" s="1"/>
    </row>
    <row r="1499" spans="1:84" s="3" customFormat="1" ht="20" x14ac:dyDescent="0.2">
      <c r="A1499" s="17" t="s">
        <v>3921</v>
      </c>
      <c r="B1499" s="17" t="s">
        <v>45</v>
      </c>
      <c r="C1499" s="17">
        <v>2025</v>
      </c>
      <c r="D1499" s="17" t="str">
        <f t="array" ref="D1499">_xlfn.SWITCH(E1499,"Bagor","35.18.14","Sukomoro",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9" s="226" t="s">
        <v>162</v>
      </c>
      <c r="F1499" s="159" t="s">
        <v>3523</v>
      </c>
      <c r="G1499" s="219" t="s">
        <v>3528</v>
      </c>
      <c r="H1499" s="227" t="s">
        <v>31</v>
      </c>
      <c r="I1499" s="228">
        <v>0</v>
      </c>
      <c r="J1499" s="228">
        <v>1</v>
      </c>
      <c r="K1499" s="226">
        <v>1</v>
      </c>
      <c r="L1499" s="229">
        <v>50000000</v>
      </c>
      <c r="M1499" s="150" t="s">
        <v>3453</v>
      </c>
      <c r="N1499" s="230">
        <v>500</v>
      </c>
      <c r="O1499" s="231" t="s">
        <v>3033</v>
      </c>
      <c r="P1499" s="232">
        <v>1500000</v>
      </c>
      <c r="Q1499" s="231" t="s">
        <v>1642</v>
      </c>
      <c r="R1499" s="230">
        <v>50</v>
      </c>
      <c r="S1499" s="234" t="s">
        <v>422</v>
      </c>
      <c r="T1499" s="235">
        <v>500000</v>
      </c>
      <c r="U1499" s="226" t="s">
        <v>22</v>
      </c>
      <c r="V1499" s="226" t="s">
        <v>50</v>
      </c>
      <c r="W1499" s="226">
        <v>0.5</v>
      </c>
      <c r="X1499" s="226"/>
      <c r="Y1499" s="226"/>
      <c r="Z1499" s="226"/>
      <c r="AA1499" s="226"/>
      <c r="AB1499" s="226"/>
      <c r="AC1499" s="226"/>
      <c r="AE1499" s="1"/>
      <c r="AF1499" s="2"/>
      <c r="AG1499" s="1"/>
      <c r="AH1499" s="1"/>
      <c r="AI1499" s="1"/>
      <c r="AJ1499" s="1"/>
      <c r="AK1499" s="1"/>
      <c r="AL1499" s="1"/>
      <c r="AM1499" s="1"/>
      <c r="AN1499" s="1"/>
      <c r="AO1499" s="1"/>
      <c r="AP1499" s="1"/>
      <c r="AQ1499" s="1"/>
      <c r="AR1499" s="1"/>
      <c r="AS1499" s="1"/>
      <c r="AT1499" s="1"/>
      <c r="AU1499" s="1"/>
      <c r="AV1499" s="1"/>
      <c r="AW1499" s="1"/>
      <c r="AX1499" s="1"/>
      <c r="AY1499" s="1"/>
      <c r="AZ1499" s="1"/>
      <c r="BA1499" s="1"/>
      <c r="BB1499" s="1"/>
      <c r="BC1499" s="1"/>
      <c r="BD1499" s="1"/>
      <c r="BE1499" s="1"/>
      <c r="BF1499" s="1"/>
      <c r="BG1499" s="1"/>
      <c r="BH1499" s="1"/>
      <c r="BI1499" s="1"/>
      <c r="BJ1499" s="1"/>
      <c r="BK1499" s="1"/>
      <c r="BL1499" s="1"/>
      <c r="BM1499" s="1"/>
      <c r="BN1499" s="1"/>
      <c r="BO1499" s="1"/>
      <c r="BP1499" s="1"/>
      <c r="BQ1499" s="1"/>
      <c r="BR1499" s="1"/>
      <c r="BS1499" s="1"/>
      <c r="BT1499" s="1"/>
      <c r="BU1499" s="1"/>
      <c r="BV1499" s="1"/>
      <c r="BW1499" s="1"/>
      <c r="BX1499" s="1"/>
      <c r="BY1499" s="1"/>
      <c r="BZ1499" s="1"/>
      <c r="CA1499" s="1"/>
      <c r="CB1499" s="1"/>
      <c r="CC1499" s="1"/>
      <c r="CD1499" s="1"/>
      <c r="CE1499" s="1"/>
      <c r="CF1499" s="1"/>
    </row>
    <row r="1500" spans="1:84" s="3" customFormat="1" ht="20" x14ac:dyDescent="0.2">
      <c r="A1500" s="17" t="s">
        <v>3921</v>
      </c>
      <c r="B1500" s="17" t="s">
        <v>45</v>
      </c>
      <c r="C1500" s="17">
        <v>2025</v>
      </c>
      <c r="D1500" s="17" t="str">
        <f t="array" ref="D1500">_xlfn.SWITCH(E1500,"Bagor","35.18.14","Sukomoro",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0" s="226" t="s">
        <v>162</v>
      </c>
      <c r="F1500" s="159" t="s">
        <v>3523</v>
      </c>
      <c r="G1500" s="219" t="s">
        <v>3529</v>
      </c>
      <c r="H1500" s="227" t="s">
        <v>31</v>
      </c>
      <c r="I1500" s="228">
        <v>1</v>
      </c>
      <c r="J1500" s="228">
        <v>0</v>
      </c>
      <c r="K1500" s="226">
        <v>1</v>
      </c>
      <c r="L1500" s="229">
        <v>50000000</v>
      </c>
      <c r="M1500" s="150" t="s">
        <v>3453</v>
      </c>
      <c r="N1500" s="230">
        <v>700</v>
      </c>
      <c r="O1500" s="231" t="s">
        <v>3033</v>
      </c>
      <c r="P1500" s="232">
        <v>2500000</v>
      </c>
      <c r="Q1500" s="231" t="s">
        <v>1642</v>
      </c>
      <c r="R1500" s="230">
        <v>800</v>
      </c>
      <c r="S1500" s="234" t="s">
        <v>422</v>
      </c>
      <c r="T1500" s="235">
        <v>9700000</v>
      </c>
      <c r="U1500" s="226" t="s">
        <v>22</v>
      </c>
      <c r="V1500" s="226" t="s">
        <v>50</v>
      </c>
      <c r="W1500" s="226">
        <v>0.5</v>
      </c>
      <c r="X1500" s="226" t="s">
        <v>3450</v>
      </c>
      <c r="Y1500" s="226"/>
      <c r="Z1500" s="226"/>
      <c r="AA1500" s="226"/>
      <c r="AB1500" s="226"/>
      <c r="AC1500" s="226"/>
      <c r="AE1500" s="1"/>
      <c r="AF1500" s="2"/>
      <c r="AG1500" s="1"/>
      <c r="AH1500" s="1"/>
      <c r="AI1500" s="1"/>
      <c r="AJ1500" s="1"/>
      <c r="AK1500" s="1"/>
      <c r="AL1500" s="1"/>
      <c r="AM1500" s="1"/>
      <c r="AN1500" s="1"/>
      <c r="AO1500" s="1"/>
      <c r="AP1500" s="1"/>
      <c r="AQ1500" s="1"/>
      <c r="AR1500" s="1"/>
      <c r="AS1500" s="1"/>
      <c r="AT1500" s="1"/>
      <c r="AU1500" s="1"/>
      <c r="AV1500" s="1"/>
      <c r="AW1500" s="1"/>
      <c r="AX1500" s="1"/>
      <c r="AY1500" s="1"/>
      <c r="AZ1500" s="1"/>
      <c r="BA1500" s="1"/>
      <c r="BB1500" s="1"/>
      <c r="BC1500" s="1"/>
      <c r="BD1500" s="1"/>
      <c r="BE1500" s="1"/>
      <c r="BF1500" s="1"/>
      <c r="BG1500" s="1"/>
      <c r="BH1500" s="1"/>
      <c r="BI1500" s="1"/>
      <c r="BJ1500" s="1"/>
      <c r="BK1500" s="1"/>
      <c r="BL1500" s="1"/>
      <c r="BM1500" s="1"/>
      <c r="BN1500" s="1"/>
      <c r="BO1500" s="1"/>
      <c r="BP1500" s="1"/>
      <c r="BQ1500" s="1"/>
      <c r="BR1500" s="1"/>
      <c r="BS1500" s="1"/>
      <c r="BT1500" s="1"/>
      <c r="BU1500" s="1"/>
      <c r="BV1500" s="1"/>
      <c r="BW1500" s="1"/>
      <c r="BX1500" s="1"/>
      <c r="BY1500" s="1"/>
      <c r="BZ1500" s="1"/>
      <c r="CA1500" s="1"/>
      <c r="CB1500" s="1"/>
      <c r="CC1500" s="1"/>
      <c r="CD1500" s="1"/>
      <c r="CE1500" s="1"/>
      <c r="CF1500" s="1"/>
    </row>
    <row r="1501" spans="1:84" s="3" customFormat="1" ht="20" x14ac:dyDescent="0.2">
      <c r="A1501" s="17" t="s">
        <v>3921</v>
      </c>
      <c r="B1501" s="17" t="s">
        <v>45</v>
      </c>
      <c r="C1501" s="17">
        <v>2025</v>
      </c>
      <c r="D1501" s="17" t="str">
        <f t="array" ref="D1501">_xlfn.SWITCH(E1501,"Bagor","35.18.14","Sukomoro",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1" s="226" t="s">
        <v>162</v>
      </c>
      <c r="F1501" s="159" t="s">
        <v>3530</v>
      </c>
      <c r="G1501" s="219" t="s">
        <v>3531</v>
      </c>
      <c r="H1501" s="227" t="s">
        <v>2917</v>
      </c>
      <c r="I1501" s="228">
        <v>2</v>
      </c>
      <c r="J1501" s="228">
        <v>1</v>
      </c>
      <c r="K1501" s="226">
        <v>3</v>
      </c>
      <c r="L1501" s="229">
        <v>45000000</v>
      </c>
      <c r="M1501" s="150" t="s">
        <v>3532</v>
      </c>
      <c r="N1501" s="230">
        <v>1600</v>
      </c>
      <c r="O1501" s="231" t="s">
        <v>422</v>
      </c>
      <c r="P1501" s="232">
        <v>25000000</v>
      </c>
      <c r="Q1501" s="231" t="s">
        <v>3533</v>
      </c>
      <c r="R1501" s="230">
        <v>2</v>
      </c>
      <c r="S1501" s="234" t="s">
        <v>1238</v>
      </c>
      <c r="T1501" s="235">
        <v>1500000</v>
      </c>
      <c r="U1501" s="226" t="s">
        <v>22</v>
      </c>
      <c r="V1501" s="226" t="s">
        <v>50</v>
      </c>
      <c r="W1501" s="226">
        <v>1</v>
      </c>
      <c r="X1501" s="226" t="s">
        <v>3450</v>
      </c>
      <c r="Y1501" s="226"/>
      <c r="Z1501" s="226"/>
      <c r="AA1501" s="226"/>
      <c r="AB1501" s="226"/>
      <c r="AC1501" s="226"/>
      <c r="AE1501" s="1"/>
      <c r="AF1501" s="2"/>
      <c r="AG1501" s="1"/>
      <c r="AH1501" s="1"/>
      <c r="AI1501" s="1"/>
      <c r="AJ1501" s="1"/>
      <c r="AK1501" s="1"/>
      <c r="AL1501" s="1"/>
      <c r="AM1501" s="1"/>
      <c r="AN1501" s="1"/>
      <c r="AO1501" s="1"/>
      <c r="AP1501" s="1"/>
      <c r="AQ1501" s="1"/>
      <c r="AR1501" s="1"/>
      <c r="AS1501" s="1"/>
      <c r="AT1501" s="1"/>
      <c r="AU1501" s="1"/>
      <c r="AV1501" s="1"/>
      <c r="AW1501" s="1"/>
      <c r="AX1501" s="1"/>
      <c r="AY1501" s="1"/>
      <c r="AZ1501" s="1"/>
      <c r="BA1501" s="1"/>
      <c r="BB1501" s="1"/>
      <c r="BC1501" s="1"/>
      <c r="BD1501" s="1"/>
      <c r="BE1501" s="1"/>
      <c r="BF1501" s="1"/>
      <c r="BG1501" s="1"/>
      <c r="BH1501" s="1"/>
      <c r="BI1501" s="1"/>
      <c r="BJ1501" s="1"/>
      <c r="BK1501" s="1"/>
      <c r="BL1501" s="1"/>
      <c r="BM1501" s="1"/>
      <c r="BN1501" s="1"/>
      <c r="BO1501" s="1"/>
      <c r="BP1501" s="1"/>
      <c r="BQ1501" s="1"/>
      <c r="BR1501" s="1"/>
      <c r="BS1501" s="1"/>
      <c r="BT1501" s="1"/>
      <c r="BU1501" s="1"/>
      <c r="BV1501" s="1"/>
      <c r="BW1501" s="1"/>
      <c r="BX1501" s="1"/>
      <c r="BY1501" s="1"/>
      <c r="BZ1501" s="1"/>
      <c r="CA1501" s="1"/>
      <c r="CB1501" s="1"/>
      <c r="CC1501" s="1"/>
      <c r="CD1501" s="1"/>
      <c r="CE1501" s="1"/>
      <c r="CF1501" s="1"/>
    </row>
    <row r="1502" spans="1:84" s="3" customFormat="1" ht="20" x14ac:dyDescent="0.2">
      <c r="A1502" s="17" t="s">
        <v>3921</v>
      </c>
      <c r="B1502" s="17" t="s">
        <v>45</v>
      </c>
      <c r="C1502" s="17">
        <v>2025</v>
      </c>
      <c r="D1502" s="17" t="str">
        <f t="array" ref="D1502">_xlfn.SWITCH(E1502,"Bagor","35.18.14","Sukomoro",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2" s="226" t="s">
        <v>162</v>
      </c>
      <c r="F1502" s="159" t="s">
        <v>3530</v>
      </c>
      <c r="G1502" s="219" t="s">
        <v>3534</v>
      </c>
      <c r="H1502" s="227" t="s">
        <v>2917</v>
      </c>
      <c r="I1502" s="228">
        <v>0</v>
      </c>
      <c r="J1502" s="228">
        <v>1</v>
      </c>
      <c r="K1502" s="226">
        <v>1</v>
      </c>
      <c r="L1502" s="229">
        <v>50000000</v>
      </c>
      <c r="M1502" s="150" t="s">
        <v>3535</v>
      </c>
      <c r="N1502" s="230" t="s">
        <v>3536</v>
      </c>
      <c r="O1502" s="231" t="s">
        <v>3527</v>
      </c>
      <c r="P1502" s="232">
        <v>4000000</v>
      </c>
      <c r="Q1502" s="231" t="s">
        <v>3537</v>
      </c>
      <c r="R1502" s="230">
        <v>1</v>
      </c>
      <c r="S1502" s="234" t="s">
        <v>1238</v>
      </c>
      <c r="T1502" s="235">
        <v>750000</v>
      </c>
      <c r="U1502" s="226" t="s">
        <v>22</v>
      </c>
      <c r="V1502" s="226"/>
      <c r="W1502" s="226"/>
      <c r="X1502" s="226"/>
      <c r="Y1502" s="226"/>
      <c r="Z1502" s="226"/>
      <c r="AA1502" s="226"/>
      <c r="AB1502" s="226"/>
      <c r="AC1502" s="226"/>
      <c r="AE1502" s="1"/>
      <c r="AF1502" s="2"/>
      <c r="AG1502" s="1"/>
      <c r="AH1502" s="1"/>
      <c r="AI1502" s="1"/>
      <c r="AJ1502" s="1"/>
      <c r="AK1502" s="1"/>
      <c r="AL1502" s="1"/>
      <c r="AM1502" s="1"/>
      <c r="AN1502" s="1"/>
      <c r="AO1502" s="1"/>
      <c r="AP1502" s="1"/>
      <c r="AQ1502" s="1"/>
      <c r="AR1502" s="1"/>
      <c r="AS1502" s="1"/>
      <c r="AT1502" s="1"/>
      <c r="AU1502" s="1"/>
      <c r="AV1502" s="1"/>
      <c r="AW1502" s="1"/>
      <c r="AX1502" s="1"/>
      <c r="AY1502" s="1"/>
      <c r="AZ1502" s="1"/>
      <c r="BA1502" s="1"/>
      <c r="BB1502" s="1"/>
      <c r="BC1502" s="1"/>
      <c r="BD1502" s="1"/>
      <c r="BE1502" s="1"/>
      <c r="BF1502" s="1"/>
      <c r="BG1502" s="1"/>
      <c r="BH1502" s="1"/>
      <c r="BI1502" s="1"/>
      <c r="BJ1502" s="1"/>
      <c r="BK1502" s="1"/>
      <c r="BL1502" s="1"/>
      <c r="BM1502" s="1"/>
      <c r="BN1502" s="1"/>
      <c r="BO1502" s="1"/>
      <c r="BP1502" s="1"/>
      <c r="BQ1502" s="1"/>
      <c r="BR1502" s="1"/>
      <c r="BS1502" s="1"/>
      <c r="BT1502" s="1"/>
      <c r="BU1502" s="1"/>
      <c r="BV1502" s="1"/>
      <c r="BW1502" s="1"/>
      <c r="BX1502" s="1"/>
      <c r="BY1502" s="1"/>
      <c r="BZ1502" s="1"/>
      <c r="CA1502" s="1"/>
      <c r="CB1502" s="1"/>
      <c r="CC1502" s="1"/>
      <c r="CD1502" s="1"/>
      <c r="CE1502" s="1"/>
      <c r="CF1502" s="1"/>
    </row>
    <row r="1503" spans="1:84" s="3" customFormat="1" ht="30" x14ac:dyDescent="0.2">
      <c r="A1503" s="17" t="s">
        <v>3921</v>
      </c>
      <c r="B1503" s="17" t="s">
        <v>45</v>
      </c>
      <c r="C1503" s="17">
        <v>2025</v>
      </c>
      <c r="D1503" s="17" t="str">
        <f t="array" ref="D1503">_xlfn.SWITCH(E1503,"Bagor","35.18.14","Sukomoro",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3" s="226" t="s">
        <v>162</v>
      </c>
      <c r="F1503" s="159" t="s">
        <v>3538</v>
      </c>
      <c r="G1503" s="219" t="s">
        <v>3539</v>
      </c>
      <c r="H1503" s="227" t="s">
        <v>2917</v>
      </c>
      <c r="I1503" s="228">
        <v>0</v>
      </c>
      <c r="J1503" s="228">
        <v>1</v>
      </c>
      <c r="K1503" s="226">
        <v>1</v>
      </c>
      <c r="L1503" s="229">
        <v>45000000</v>
      </c>
      <c r="M1503" s="150" t="s">
        <v>3540</v>
      </c>
      <c r="N1503" s="230">
        <v>100</v>
      </c>
      <c r="O1503" s="231" t="s">
        <v>3033</v>
      </c>
      <c r="P1503" s="232">
        <v>2500000</v>
      </c>
      <c r="Q1503" s="231" t="s">
        <v>3541</v>
      </c>
      <c r="R1503" s="230">
        <v>1</v>
      </c>
      <c r="S1503" s="234" t="s">
        <v>1238</v>
      </c>
      <c r="T1503" s="235">
        <v>1000000</v>
      </c>
      <c r="U1503" s="226" t="s">
        <v>22</v>
      </c>
      <c r="V1503" s="226" t="s">
        <v>3443</v>
      </c>
      <c r="W1503" s="226">
        <v>15</v>
      </c>
      <c r="X1503" s="226" t="s">
        <v>3014</v>
      </c>
      <c r="Y1503" s="226"/>
      <c r="Z1503" s="226"/>
      <c r="AA1503" s="226"/>
      <c r="AB1503" s="226"/>
      <c r="AC1503" s="226"/>
      <c r="AE1503" s="1"/>
      <c r="AF1503" s="2"/>
      <c r="AG1503" s="1"/>
      <c r="AH1503" s="1"/>
      <c r="AI1503" s="1"/>
      <c r="AJ1503" s="1"/>
      <c r="AK1503" s="1"/>
      <c r="AL1503" s="1"/>
      <c r="AM1503" s="1"/>
      <c r="AN1503" s="1"/>
      <c r="AO1503" s="1"/>
      <c r="AP1503" s="1"/>
      <c r="AQ1503" s="1"/>
      <c r="AR1503" s="1"/>
      <c r="AS1503" s="1"/>
      <c r="AT1503" s="1"/>
      <c r="AU1503" s="1"/>
      <c r="AV1503" s="1"/>
      <c r="AW1503" s="1"/>
      <c r="AX1503" s="1"/>
      <c r="AY1503" s="1"/>
      <c r="AZ1503" s="1"/>
      <c r="BA1503" s="1"/>
      <c r="BB1503" s="1"/>
      <c r="BC1503" s="1"/>
      <c r="BD1503" s="1"/>
      <c r="BE1503" s="1"/>
      <c r="BF1503" s="1"/>
      <c r="BG1503" s="1"/>
      <c r="BH1503" s="1"/>
      <c r="BI1503" s="1"/>
      <c r="BJ1503" s="1"/>
      <c r="BK1503" s="1"/>
      <c r="BL1503" s="1"/>
      <c r="BM1503" s="1"/>
      <c r="BN1503" s="1"/>
      <c r="BO1503" s="1"/>
      <c r="BP1503" s="1"/>
      <c r="BQ1503" s="1"/>
      <c r="BR1503" s="1"/>
      <c r="BS1503" s="1"/>
      <c r="BT1503" s="1"/>
      <c r="BU1503" s="1"/>
      <c r="BV1503" s="1"/>
      <c r="BW1503" s="1"/>
      <c r="BX1503" s="1"/>
      <c r="BY1503" s="1"/>
      <c r="BZ1503" s="1"/>
      <c r="CA1503" s="1"/>
      <c r="CB1503" s="1"/>
      <c r="CC1503" s="1"/>
      <c r="CD1503" s="1"/>
      <c r="CE1503" s="1"/>
      <c r="CF1503" s="1"/>
    </row>
    <row r="1504" spans="1:84" s="3" customFormat="1" ht="30" x14ac:dyDescent="0.2">
      <c r="A1504" s="17" t="s">
        <v>3921</v>
      </c>
      <c r="B1504" s="17" t="s">
        <v>45</v>
      </c>
      <c r="C1504" s="17">
        <v>2025</v>
      </c>
      <c r="D1504" s="17" t="str">
        <f t="array" ref="D1504">_xlfn.SWITCH(E1504,"Bagor","35.18.14","Sukomoro",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4" s="226" t="s">
        <v>162</v>
      </c>
      <c r="F1504" s="159" t="s">
        <v>3538</v>
      </c>
      <c r="G1504" s="219" t="s">
        <v>3542</v>
      </c>
      <c r="H1504" s="227" t="s">
        <v>2917</v>
      </c>
      <c r="I1504" s="228">
        <v>0</v>
      </c>
      <c r="J1504" s="228">
        <v>1</v>
      </c>
      <c r="K1504" s="226">
        <v>1</v>
      </c>
      <c r="L1504" s="229">
        <v>45000000</v>
      </c>
      <c r="M1504" s="150" t="s">
        <v>3540</v>
      </c>
      <c r="N1504" s="230">
        <v>100</v>
      </c>
      <c r="O1504" s="231" t="s">
        <v>3033</v>
      </c>
      <c r="P1504" s="232">
        <v>2500000</v>
      </c>
      <c r="Q1504" s="231" t="s">
        <v>3541</v>
      </c>
      <c r="R1504" s="230">
        <v>1</v>
      </c>
      <c r="S1504" s="234" t="s">
        <v>1238</v>
      </c>
      <c r="T1504" s="235">
        <v>1000000</v>
      </c>
      <c r="U1504" s="226" t="s">
        <v>22</v>
      </c>
      <c r="V1504" s="226" t="s">
        <v>50</v>
      </c>
      <c r="W1504" s="226" t="s">
        <v>3543</v>
      </c>
      <c r="X1504" s="226" t="s">
        <v>3450</v>
      </c>
      <c r="Y1504" s="226"/>
      <c r="Z1504" s="226"/>
      <c r="AA1504" s="226"/>
      <c r="AB1504" s="226"/>
      <c r="AC1504" s="226"/>
      <c r="AE1504" s="1"/>
      <c r="AF1504" s="2"/>
      <c r="AG1504" s="1"/>
      <c r="AH1504" s="1"/>
      <c r="AI1504" s="1"/>
      <c r="AJ1504" s="1"/>
      <c r="AK1504" s="1"/>
      <c r="AL1504" s="1"/>
      <c r="AM1504" s="1"/>
      <c r="AN1504" s="1"/>
      <c r="AO1504" s="1"/>
      <c r="AP1504" s="1"/>
      <c r="AQ1504" s="1"/>
      <c r="AR1504" s="1"/>
      <c r="AS1504" s="1"/>
      <c r="AT1504" s="1"/>
      <c r="AU1504" s="1"/>
      <c r="AV1504" s="1"/>
      <c r="AW1504" s="1"/>
      <c r="AX1504" s="1"/>
      <c r="AY1504" s="1"/>
      <c r="AZ1504" s="1"/>
      <c r="BA1504" s="1"/>
      <c r="BB1504" s="1"/>
      <c r="BC1504" s="1"/>
      <c r="BD1504" s="1"/>
      <c r="BE1504" s="1"/>
      <c r="BF1504" s="1"/>
      <c r="BG1504" s="1"/>
      <c r="BH1504" s="1"/>
      <c r="BI1504" s="1"/>
      <c r="BJ1504" s="1"/>
      <c r="BK1504" s="1"/>
      <c r="BL1504" s="1"/>
      <c r="BM1504" s="1"/>
      <c r="BN1504" s="1"/>
      <c r="BO1504" s="1"/>
      <c r="BP1504" s="1"/>
      <c r="BQ1504" s="1"/>
      <c r="BR1504" s="1"/>
      <c r="BS1504" s="1"/>
      <c r="BT1504" s="1"/>
      <c r="BU1504" s="1"/>
      <c r="BV1504" s="1"/>
      <c r="BW1504" s="1"/>
      <c r="BX1504" s="1"/>
      <c r="BY1504" s="1"/>
      <c r="BZ1504" s="1"/>
      <c r="CA1504" s="1"/>
      <c r="CB1504" s="1"/>
      <c r="CC1504" s="1"/>
      <c r="CD1504" s="1"/>
      <c r="CE1504" s="1"/>
      <c r="CF1504" s="1"/>
    </row>
    <row r="1505" spans="1:84" s="3" customFormat="1" ht="30" x14ac:dyDescent="0.2">
      <c r="A1505" s="17" t="s">
        <v>3921</v>
      </c>
      <c r="B1505" s="17" t="s">
        <v>45</v>
      </c>
      <c r="C1505" s="17">
        <v>2025</v>
      </c>
      <c r="D1505" s="17" t="str">
        <f t="array" ref="D1505">_xlfn.SWITCH(E1505,"Bagor","35.18.14","Sukomoro",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5" s="226" t="s">
        <v>162</v>
      </c>
      <c r="F1505" s="159" t="s">
        <v>3538</v>
      </c>
      <c r="G1505" s="219" t="s">
        <v>3544</v>
      </c>
      <c r="H1505" s="227" t="s">
        <v>2917</v>
      </c>
      <c r="I1505" s="228">
        <v>0</v>
      </c>
      <c r="J1505" s="228">
        <v>1</v>
      </c>
      <c r="K1505" s="226">
        <v>1</v>
      </c>
      <c r="L1505" s="229">
        <v>45000000</v>
      </c>
      <c r="M1505" s="150" t="s">
        <v>3540</v>
      </c>
      <c r="N1505" s="230">
        <v>100</v>
      </c>
      <c r="O1505" s="231" t="s">
        <v>3033</v>
      </c>
      <c r="P1505" s="232">
        <v>2500000</v>
      </c>
      <c r="Q1505" s="231" t="s">
        <v>3541</v>
      </c>
      <c r="R1505" s="230">
        <v>1</v>
      </c>
      <c r="S1505" s="234" t="s">
        <v>1238</v>
      </c>
      <c r="T1505" s="235">
        <v>1000000</v>
      </c>
      <c r="U1505" s="226" t="s">
        <v>22</v>
      </c>
      <c r="V1505" s="226" t="s">
        <v>3545</v>
      </c>
      <c r="W1505" s="226">
        <v>15</v>
      </c>
      <c r="X1505" s="226" t="s">
        <v>3014</v>
      </c>
      <c r="Y1505" s="226"/>
      <c r="Z1505" s="226"/>
      <c r="AA1505" s="226"/>
      <c r="AB1505" s="226"/>
      <c r="AC1505" s="226"/>
      <c r="AE1505" s="1"/>
      <c r="AF1505" s="2"/>
      <c r="AG1505" s="1"/>
      <c r="AH1505" s="1"/>
      <c r="AI1505" s="1"/>
      <c r="AJ1505" s="1"/>
      <c r="AK1505" s="1"/>
      <c r="AL1505" s="1"/>
      <c r="AM1505" s="1"/>
      <c r="AN1505" s="1"/>
      <c r="AO1505" s="1"/>
      <c r="AP1505" s="1"/>
      <c r="AQ1505" s="1"/>
      <c r="AR1505" s="1"/>
      <c r="AS1505" s="1"/>
      <c r="AT1505" s="1"/>
      <c r="AU1505" s="1"/>
      <c r="AV1505" s="1"/>
      <c r="AW1505" s="1"/>
      <c r="AX1505" s="1"/>
      <c r="AY1505" s="1"/>
      <c r="AZ1505" s="1"/>
      <c r="BA1505" s="1"/>
      <c r="BB1505" s="1"/>
      <c r="BC1505" s="1"/>
      <c r="BD1505" s="1"/>
      <c r="BE1505" s="1"/>
      <c r="BF1505" s="1"/>
      <c r="BG1505" s="1"/>
      <c r="BH1505" s="1"/>
      <c r="BI1505" s="1"/>
      <c r="BJ1505" s="1"/>
      <c r="BK1505" s="1"/>
      <c r="BL1505" s="1"/>
      <c r="BM1505" s="1"/>
      <c r="BN1505" s="1"/>
      <c r="BO1505" s="1"/>
      <c r="BP1505" s="1"/>
      <c r="BQ1505" s="1"/>
      <c r="BR1505" s="1"/>
      <c r="BS1505" s="1"/>
      <c r="BT1505" s="1"/>
      <c r="BU1505" s="1"/>
      <c r="BV1505" s="1"/>
      <c r="BW1505" s="1"/>
      <c r="BX1505" s="1"/>
      <c r="BY1505" s="1"/>
      <c r="BZ1505" s="1"/>
      <c r="CA1505" s="1"/>
      <c r="CB1505" s="1"/>
      <c r="CC1505" s="1"/>
      <c r="CD1505" s="1"/>
      <c r="CE1505" s="1"/>
      <c r="CF1505" s="1"/>
    </row>
    <row r="1506" spans="1:84" s="3" customFormat="1" ht="30" x14ac:dyDescent="0.2">
      <c r="A1506" s="17" t="s">
        <v>3921</v>
      </c>
      <c r="B1506" s="17" t="s">
        <v>45</v>
      </c>
      <c r="C1506" s="17">
        <v>2025</v>
      </c>
      <c r="D1506" s="17" t="str">
        <f t="array" ref="D1506">_xlfn.SWITCH(E1506,"Bagor","35.18.14","Sukomoro",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6" s="226" t="s">
        <v>162</v>
      </c>
      <c r="F1506" s="159" t="s">
        <v>3538</v>
      </c>
      <c r="G1506" s="219" t="s">
        <v>3546</v>
      </c>
      <c r="H1506" s="227" t="s">
        <v>2917</v>
      </c>
      <c r="I1506" s="228">
        <v>0</v>
      </c>
      <c r="J1506" s="228">
        <v>1</v>
      </c>
      <c r="K1506" s="226">
        <v>1</v>
      </c>
      <c r="L1506" s="229">
        <v>45000000</v>
      </c>
      <c r="M1506" s="150" t="s">
        <v>3540</v>
      </c>
      <c r="N1506" s="230">
        <v>100</v>
      </c>
      <c r="O1506" s="231" t="s">
        <v>3033</v>
      </c>
      <c r="P1506" s="232">
        <v>2500000</v>
      </c>
      <c r="Q1506" s="231" t="s">
        <v>3541</v>
      </c>
      <c r="R1506" s="230">
        <v>1</v>
      </c>
      <c r="S1506" s="234" t="s">
        <v>1238</v>
      </c>
      <c r="T1506" s="235">
        <v>1000000</v>
      </c>
      <c r="U1506" s="226" t="s">
        <v>22</v>
      </c>
      <c r="V1506" s="226" t="s">
        <v>3443</v>
      </c>
      <c r="W1506" s="226">
        <v>15</v>
      </c>
      <c r="X1506" s="226" t="s">
        <v>3014</v>
      </c>
      <c r="Y1506" s="226"/>
      <c r="Z1506" s="226"/>
      <c r="AA1506" s="226"/>
      <c r="AB1506" s="226"/>
      <c r="AC1506" s="226"/>
      <c r="AE1506" s="1"/>
      <c r="AF1506" s="2"/>
      <c r="AG1506" s="1"/>
      <c r="AH1506" s="1"/>
      <c r="AI1506" s="1"/>
      <c r="AJ1506" s="1"/>
      <c r="AK1506" s="1"/>
      <c r="AL1506" s="1"/>
      <c r="AM1506" s="1"/>
      <c r="AN1506" s="1"/>
      <c r="AO1506" s="1"/>
      <c r="AP1506" s="1"/>
      <c r="AQ1506" s="1"/>
      <c r="AR1506" s="1"/>
      <c r="AS1506" s="1"/>
      <c r="AT1506" s="1"/>
      <c r="AU1506" s="1"/>
      <c r="AV1506" s="1"/>
      <c r="AW1506" s="1"/>
      <c r="AX1506" s="1"/>
      <c r="AY1506" s="1"/>
      <c r="AZ1506" s="1"/>
      <c r="BA1506" s="1"/>
      <c r="BB1506" s="1"/>
      <c r="BC1506" s="1"/>
      <c r="BD1506" s="1"/>
      <c r="BE1506" s="1"/>
      <c r="BF1506" s="1"/>
      <c r="BG1506" s="1"/>
      <c r="BH1506" s="1"/>
      <c r="BI1506" s="1"/>
      <c r="BJ1506" s="1"/>
      <c r="BK1506" s="1"/>
      <c r="BL1506" s="1"/>
      <c r="BM1506" s="1"/>
      <c r="BN1506" s="1"/>
      <c r="BO1506" s="1"/>
      <c r="BP1506" s="1"/>
      <c r="BQ1506" s="1"/>
      <c r="BR1506" s="1"/>
      <c r="BS1506" s="1"/>
      <c r="BT1506" s="1"/>
      <c r="BU1506" s="1"/>
      <c r="BV1506" s="1"/>
      <c r="BW1506" s="1"/>
      <c r="BX1506" s="1"/>
      <c r="BY1506" s="1"/>
      <c r="BZ1506" s="1"/>
      <c r="CA1506" s="1"/>
      <c r="CB1506" s="1"/>
      <c r="CC1506" s="1"/>
      <c r="CD1506" s="1"/>
      <c r="CE1506" s="1"/>
      <c r="CF1506" s="1"/>
    </row>
    <row r="1507" spans="1:84" s="3" customFormat="1" ht="20" x14ac:dyDescent="0.2">
      <c r="A1507" s="17" t="s">
        <v>3921</v>
      </c>
      <c r="B1507" s="17" t="s">
        <v>45</v>
      </c>
      <c r="C1507" s="17">
        <v>2025</v>
      </c>
      <c r="D1507" s="17" t="str">
        <f t="array" ref="D1507">_xlfn.SWITCH(E1507,"Bagor","35.18.14","Sukomoro",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7" s="226" t="s">
        <v>162</v>
      </c>
      <c r="F1507" s="159" t="s">
        <v>3547</v>
      </c>
      <c r="G1507" s="219" t="s">
        <v>3548</v>
      </c>
      <c r="H1507" s="227" t="s">
        <v>2917</v>
      </c>
      <c r="I1507" s="228">
        <v>0</v>
      </c>
      <c r="J1507" s="228">
        <v>1</v>
      </c>
      <c r="K1507" s="226">
        <v>1</v>
      </c>
      <c r="L1507" s="229">
        <v>45000000</v>
      </c>
      <c r="M1507" s="150" t="s">
        <v>3540</v>
      </c>
      <c r="N1507" s="230">
        <v>500</v>
      </c>
      <c r="O1507" s="231" t="s">
        <v>1130</v>
      </c>
      <c r="P1507" s="232">
        <v>3000000</v>
      </c>
      <c r="Q1507" s="231" t="s">
        <v>1642</v>
      </c>
      <c r="R1507" s="230">
        <v>100</v>
      </c>
      <c r="S1507" s="234" t="s">
        <v>422</v>
      </c>
      <c r="T1507" s="235">
        <v>1200000</v>
      </c>
      <c r="U1507" s="226" t="s">
        <v>22</v>
      </c>
      <c r="V1507" s="226" t="s">
        <v>3449</v>
      </c>
      <c r="W1507" s="226">
        <v>1</v>
      </c>
      <c r="X1507" s="226" t="s">
        <v>3450</v>
      </c>
      <c r="Y1507" s="226"/>
      <c r="Z1507" s="226"/>
      <c r="AA1507" s="226"/>
      <c r="AB1507" s="226"/>
      <c r="AC1507" s="226"/>
      <c r="AE1507" s="1"/>
      <c r="AF1507" s="2"/>
      <c r="AG1507" s="1"/>
      <c r="AH1507" s="1"/>
      <c r="AI1507" s="1"/>
      <c r="AJ1507" s="1"/>
      <c r="AK1507" s="1"/>
      <c r="AL1507" s="1"/>
      <c r="AM1507" s="1"/>
      <c r="AN1507" s="1"/>
      <c r="AO1507" s="1"/>
      <c r="AP1507" s="1"/>
      <c r="AQ1507" s="1"/>
      <c r="AR1507" s="1"/>
      <c r="AS1507" s="1"/>
      <c r="AT1507" s="1"/>
      <c r="AU1507" s="1"/>
      <c r="AV1507" s="1"/>
      <c r="AW1507" s="1"/>
      <c r="AX1507" s="1"/>
      <c r="AY1507" s="1"/>
      <c r="AZ1507" s="1"/>
      <c r="BA1507" s="1"/>
      <c r="BB1507" s="1"/>
      <c r="BC1507" s="1"/>
      <c r="BD1507" s="1"/>
      <c r="BE1507" s="1"/>
      <c r="BF1507" s="1"/>
      <c r="BG1507" s="1"/>
      <c r="BH1507" s="1"/>
      <c r="BI1507" s="1"/>
      <c r="BJ1507" s="1"/>
      <c r="BK1507" s="1"/>
      <c r="BL1507" s="1"/>
      <c r="BM1507" s="1"/>
      <c r="BN1507" s="1"/>
      <c r="BO1507" s="1"/>
      <c r="BP1507" s="1"/>
      <c r="BQ1507" s="1"/>
      <c r="BR1507" s="1"/>
      <c r="BS1507" s="1"/>
      <c r="BT1507" s="1"/>
      <c r="BU1507" s="1"/>
      <c r="BV1507" s="1"/>
      <c r="BW1507" s="1"/>
      <c r="BX1507" s="1"/>
      <c r="BY1507" s="1"/>
      <c r="BZ1507" s="1"/>
      <c r="CA1507" s="1"/>
      <c r="CB1507" s="1"/>
      <c r="CC1507" s="1"/>
      <c r="CD1507" s="1"/>
      <c r="CE1507" s="1"/>
      <c r="CF1507" s="1"/>
    </row>
    <row r="1508" spans="1:84" s="3" customFormat="1" ht="20" x14ac:dyDescent="0.2">
      <c r="A1508" s="17" t="s">
        <v>3921</v>
      </c>
      <c r="B1508" s="17" t="s">
        <v>45</v>
      </c>
      <c r="C1508" s="17">
        <v>2025</v>
      </c>
      <c r="D1508" s="17" t="str">
        <f t="array" ref="D1508">_xlfn.SWITCH(E1508,"Bagor","35.18.14","Sukomoro",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8" s="226" t="s">
        <v>162</v>
      </c>
      <c r="F1508" s="159" t="s">
        <v>3549</v>
      </c>
      <c r="G1508" s="219" t="s">
        <v>3550</v>
      </c>
      <c r="H1508" s="227" t="s">
        <v>2917</v>
      </c>
      <c r="I1508" s="228">
        <v>0</v>
      </c>
      <c r="J1508" s="228">
        <v>1</v>
      </c>
      <c r="K1508" s="226">
        <v>1</v>
      </c>
      <c r="L1508" s="229">
        <v>45000000</v>
      </c>
      <c r="M1508" s="150" t="s">
        <v>3513</v>
      </c>
      <c r="N1508" s="230">
        <v>1000</v>
      </c>
      <c r="O1508" s="231" t="s">
        <v>1130</v>
      </c>
      <c r="P1508" s="232">
        <v>3000000</v>
      </c>
      <c r="Q1508" s="231" t="s">
        <v>1642</v>
      </c>
      <c r="R1508" s="230">
        <v>300</v>
      </c>
      <c r="S1508" s="234" t="s">
        <v>422</v>
      </c>
      <c r="T1508" s="235">
        <v>3000000</v>
      </c>
      <c r="U1508" s="226" t="s">
        <v>22</v>
      </c>
      <c r="V1508" s="226"/>
      <c r="W1508" s="226"/>
      <c r="X1508" s="226"/>
      <c r="Y1508" s="226"/>
      <c r="Z1508" s="226"/>
      <c r="AA1508" s="226"/>
      <c r="AB1508" s="226"/>
      <c r="AC1508" s="226"/>
      <c r="AE1508" s="1"/>
      <c r="AF1508" s="2"/>
      <c r="AG1508" s="1"/>
      <c r="AH1508" s="1"/>
      <c r="AI1508" s="1"/>
      <c r="AJ1508" s="1"/>
      <c r="AK1508" s="1"/>
      <c r="AL1508" s="1"/>
      <c r="AM1508" s="1"/>
      <c r="AN1508" s="1"/>
      <c r="AO1508" s="1"/>
      <c r="AP1508" s="1"/>
      <c r="AQ1508" s="1"/>
      <c r="AR1508" s="1"/>
      <c r="AS1508" s="1"/>
      <c r="AT1508" s="1"/>
      <c r="AU1508" s="1"/>
      <c r="AV1508" s="1"/>
      <c r="AW1508" s="1"/>
      <c r="AX1508" s="1"/>
      <c r="AY1508" s="1"/>
      <c r="AZ1508" s="1"/>
      <c r="BA1508" s="1"/>
      <c r="BB1508" s="1"/>
      <c r="BC1508" s="1"/>
      <c r="BD1508" s="1"/>
      <c r="BE1508" s="1"/>
      <c r="BF1508" s="1"/>
      <c r="BG1508" s="1"/>
      <c r="BH1508" s="1"/>
      <c r="BI1508" s="1"/>
      <c r="BJ1508" s="1"/>
      <c r="BK1508" s="1"/>
      <c r="BL1508" s="1"/>
      <c r="BM1508" s="1"/>
      <c r="BN1508" s="1"/>
      <c r="BO1508" s="1"/>
      <c r="BP1508" s="1"/>
      <c r="BQ1508" s="1"/>
      <c r="BR1508" s="1"/>
      <c r="BS1508" s="1"/>
      <c r="BT1508" s="1"/>
      <c r="BU1508" s="1"/>
      <c r="BV1508" s="1"/>
      <c r="BW1508" s="1"/>
      <c r="BX1508" s="1"/>
      <c r="BY1508" s="1"/>
      <c r="BZ1508" s="1"/>
      <c r="CA1508" s="1"/>
      <c r="CB1508" s="1"/>
      <c r="CC1508" s="1"/>
      <c r="CD1508" s="1"/>
      <c r="CE1508" s="1"/>
      <c r="CF1508" s="1"/>
    </row>
    <row r="1509" spans="1:84" s="3" customFormat="1" ht="20" x14ac:dyDescent="0.2">
      <c r="A1509" s="17" t="s">
        <v>3921</v>
      </c>
      <c r="B1509" s="17" t="s">
        <v>45</v>
      </c>
      <c r="C1509" s="17">
        <v>2025</v>
      </c>
      <c r="D1509" s="17" t="str">
        <f t="array" ref="D1509">_xlfn.SWITCH(E1509,"Bagor","35.18.14","Sukomoro",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9" s="226" t="s">
        <v>162</v>
      </c>
      <c r="F1509" s="159" t="s">
        <v>3549</v>
      </c>
      <c r="G1509" s="219" t="s">
        <v>3551</v>
      </c>
      <c r="H1509" s="227" t="s">
        <v>2917</v>
      </c>
      <c r="I1509" s="228">
        <v>0</v>
      </c>
      <c r="J1509" s="228">
        <v>1</v>
      </c>
      <c r="K1509" s="226">
        <v>1</v>
      </c>
      <c r="L1509" s="229">
        <v>45000000</v>
      </c>
      <c r="M1509" s="150" t="s">
        <v>3513</v>
      </c>
      <c r="N1509" s="230">
        <v>2000</v>
      </c>
      <c r="O1509" s="231" t="s">
        <v>1130</v>
      </c>
      <c r="P1509" s="232">
        <v>3000000</v>
      </c>
      <c r="Q1509" s="231" t="s">
        <v>1642</v>
      </c>
      <c r="R1509" s="230">
        <v>450</v>
      </c>
      <c r="S1509" s="234" t="s">
        <v>422</v>
      </c>
      <c r="T1509" s="235">
        <v>3000000</v>
      </c>
      <c r="U1509" s="226" t="s">
        <v>22</v>
      </c>
      <c r="V1509" s="226"/>
      <c r="W1509" s="226"/>
      <c r="X1509" s="226"/>
      <c r="Y1509" s="226"/>
      <c r="Z1509" s="226"/>
      <c r="AA1509" s="226"/>
      <c r="AB1509" s="226"/>
      <c r="AC1509" s="226"/>
      <c r="AE1509" s="1"/>
      <c r="AF1509" s="2"/>
      <c r="AG1509" s="1"/>
      <c r="AH1509" s="1"/>
      <c r="AI1509" s="1"/>
      <c r="AJ1509" s="1"/>
      <c r="AK1509" s="1"/>
      <c r="AL1509" s="1"/>
      <c r="AM1509" s="1"/>
      <c r="AN1509" s="1"/>
      <c r="AO1509" s="1"/>
      <c r="AP1509" s="1"/>
      <c r="AQ1509" s="1"/>
      <c r="AR1509" s="1"/>
      <c r="AS1509" s="1"/>
      <c r="AT1509" s="1"/>
      <c r="AU1509" s="1"/>
      <c r="AV1509" s="1"/>
      <c r="AW1509" s="1"/>
      <c r="AX1509" s="1"/>
      <c r="AY1509" s="1"/>
      <c r="AZ1509" s="1"/>
      <c r="BA1509" s="1"/>
      <c r="BB1509" s="1"/>
      <c r="BC1509" s="1"/>
      <c r="BD1509" s="1"/>
      <c r="BE1509" s="1"/>
      <c r="BF1509" s="1"/>
      <c r="BG1509" s="1"/>
      <c r="BH1509" s="1"/>
      <c r="BI1509" s="1"/>
      <c r="BJ1509" s="1"/>
      <c r="BK1509" s="1"/>
      <c r="BL1509" s="1"/>
      <c r="BM1509" s="1"/>
      <c r="BN1509" s="1"/>
      <c r="BO1509" s="1"/>
      <c r="BP1509" s="1"/>
      <c r="BQ1509" s="1"/>
      <c r="BR1509" s="1"/>
      <c r="BS1509" s="1"/>
      <c r="BT1509" s="1"/>
      <c r="BU1509" s="1"/>
      <c r="BV1509" s="1"/>
      <c r="BW1509" s="1"/>
      <c r="BX1509" s="1"/>
      <c r="BY1509" s="1"/>
      <c r="BZ1509" s="1"/>
      <c r="CA1509" s="1"/>
      <c r="CB1509" s="1"/>
      <c r="CC1509" s="1"/>
      <c r="CD1509" s="1"/>
      <c r="CE1509" s="1"/>
      <c r="CF1509" s="1"/>
    </row>
    <row r="1510" spans="1:84" s="3" customFormat="1" ht="20" x14ac:dyDescent="0.2">
      <c r="A1510" s="17" t="s">
        <v>3921</v>
      </c>
      <c r="B1510" s="17" t="s">
        <v>45</v>
      </c>
      <c r="C1510" s="17">
        <v>2025</v>
      </c>
      <c r="D1510" s="17" t="str">
        <f t="array" ref="D1510">_xlfn.SWITCH(E1510,"Bagor","35.18.14","Sukomoro",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0" s="226" t="s">
        <v>162</v>
      </c>
      <c r="F1510" s="159" t="s">
        <v>3552</v>
      </c>
      <c r="G1510" s="219" t="s">
        <v>3553</v>
      </c>
      <c r="H1510" s="227" t="s">
        <v>2917</v>
      </c>
      <c r="I1510" s="228">
        <v>1</v>
      </c>
      <c r="J1510" s="228">
        <v>0</v>
      </c>
      <c r="K1510" s="226">
        <v>1</v>
      </c>
      <c r="L1510" s="229">
        <v>50000000</v>
      </c>
      <c r="M1510" s="150" t="s">
        <v>3513</v>
      </c>
      <c r="N1510" s="230">
        <v>2000</v>
      </c>
      <c r="O1510" s="231" t="s">
        <v>3492</v>
      </c>
      <c r="P1510" s="232">
        <v>4000000</v>
      </c>
      <c r="Q1510" s="231" t="s">
        <v>1642</v>
      </c>
      <c r="R1510" s="230">
        <v>500</v>
      </c>
      <c r="S1510" s="234" t="s">
        <v>422</v>
      </c>
      <c r="T1510" s="235">
        <v>3000000</v>
      </c>
      <c r="U1510" s="226" t="s">
        <v>22</v>
      </c>
      <c r="V1510" s="226" t="s">
        <v>50</v>
      </c>
      <c r="W1510" s="226">
        <v>1</v>
      </c>
      <c r="X1510" s="226" t="s">
        <v>3450</v>
      </c>
      <c r="Y1510" s="226"/>
      <c r="Z1510" s="226"/>
      <c r="AA1510" s="226"/>
      <c r="AB1510" s="226"/>
      <c r="AC1510" s="226"/>
      <c r="AE1510" s="1"/>
      <c r="AF1510" s="2"/>
      <c r="AG1510" s="1"/>
      <c r="AH1510" s="1"/>
      <c r="AI1510" s="1"/>
      <c r="AJ1510" s="1"/>
      <c r="AK1510" s="1"/>
      <c r="AL1510" s="1"/>
      <c r="AM1510" s="1"/>
      <c r="AN1510" s="1"/>
      <c r="AO1510" s="1"/>
      <c r="AP1510" s="1"/>
      <c r="AQ1510" s="1"/>
      <c r="AR1510" s="1"/>
      <c r="AS1510" s="1"/>
      <c r="AT1510" s="1"/>
      <c r="AU1510" s="1"/>
      <c r="AV1510" s="1"/>
      <c r="AW1510" s="1"/>
      <c r="AX1510" s="1"/>
      <c r="AY1510" s="1"/>
      <c r="AZ1510" s="1"/>
      <c r="BA1510" s="1"/>
      <c r="BB1510" s="1"/>
      <c r="BC1510" s="1"/>
      <c r="BD1510" s="1"/>
      <c r="BE1510" s="1"/>
      <c r="BF1510" s="1"/>
      <c r="BG1510" s="1"/>
      <c r="BH1510" s="1"/>
      <c r="BI1510" s="1"/>
      <c r="BJ1510" s="1"/>
      <c r="BK1510" s="1"/>
      <c r="BL1510" s="1"/>
      <c r="BM1510" s="1"/>
      <c r="BN1510" s="1"/>
      <c r="BO1510" s="1"/>
      <c r="BP1510" s="1"/>
      <c r="BQ1510" s="1"/>
      <c r="BR1510" s="1"/>
      <c r="BS1510" s="1"/>
      <c r="BT1510" s="1"/>
      <c r="BU1510" s="1"/>
      <c r="BV1510" s="1"/>
      <c r="BW1510" s="1"/>
      <c r="BX1510" s="1"/>
      <c r="BY1510" s="1"/>
      <c r="BZ1510" s="1"/>
      <c r="CA1510" s="1"/>
      <c r="CB1510" s="1"/>
      <c r="CC1510" s="1"/>
      <c r="CD1510" s="1"/>
      <c r="CE1510" s="1"/>
      <c r="CF1510" s="1"/>
    </row>
    <row r="1511" spans="1:84" s="3" customFormat="1" ht="30" x14ac:dyDescent="0.2">
      <c r="A1511" s="17" t="s">
        <v>3921</v>
      </c>
      <c r="B1511" s="17" t="s">
        <v>45</v>
      </c>
      <c r="C1511" s="17">
        <v>2025</v>
      </c>
      <c r="D1511" s="17" t="str">
        <f t="array" ref="D1511">_xlfn.SWITCH(E1511,"Bagor","35.18.14","Sukomoro",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1" s="226" t="s">
        <v>162</v>
      </c>
      <c r="F1511" s="159" t="s">
        <v>3554</v>
      </c>
      <c r="G1511" s="219" t="s">
        <v>3555</v>
      </c>
      <c r="H1511" s="227" t="s">
        <v>2917</v>
      </c>
      <c r="I1511" s="228">
        <v>2</v>
      </c>
      <c r="J1511" s="228">
        <v>0</v>
      </c>
      <c r="K1511" s="226">
        <v>2</v>
      </c>
      <c r="L1511" s="229">
        <v>60000000</v>
      </c>
      <c r="M1511" s="150" t="s">
        <v>3556</v>
      </c>
      <c r="N1511" s="230">
        <v>500</v>
      </c>
      <c r="O1511" s="231" t="s">
        <v>3033</v>
      </c>
      <c r="P1511" s="232">
        <v>2500000</v>
      </c>
      <c r="Q1511" s="231" t="s">
        <v>3557</v>
      </c>
      <c r="R1511" s="230">
        <v>500</v>
      </c>
      <c r="S1511" s="234" t="s">
        <v>422</v>
      </c>
      <c r="T1511" s="235">
        <v>2500000</v>
      </c>
      <c r="U1511" s="226" t="s">
        <v>22</v>
      </c>
      <c r="V1511" s="226" t="s">
        <v>50</v>
      </c>
      <c r="W1511" s="226">
        <v>2</v>
      </c>
      <c r="X1511" s="226" t="s">
        <v>3450</v>
      </c>
      <c r="Y1511" s="226"/>
      <c r="Z1511" s="226"/>
      <c r="AA1511" s="226"/>
      <c r="AB1511" s="226"/>
      <c r="AC1511" s="226"/>
      <c r="AE1511" s="1"/>
      <c r="AF1511" s="2"/>
      <c r="AG1511" s="1"/>
      <c r="AH1511" s="1"/>
      <c r="AI1511" s="1"/>
      <c r="AJ1511" s="1"/>
      <c r="AK1511" s="1"/>
      <c r="AL1511" s="1"/>
      <c r="AM1511" s="1"/>
      <c r="AN1511" s="1"/>
      <c r="AO1511" s="1"/>
      <c r="AP1511" s="1"/>
      <c r="AQ1511" s="1"/>
      <c r="AR1511" s="1"/>
      <c r="AS1511" s="1"/>
      <c r="AT1511" s="1"/>
      <c r="AU1511" s="1"/>
      <c r="AV1511" s="1"/>
      <c r="AW1511" s="1"/>
      <c r="AX1511" s="1"/>
      <c r="AY1511" s="1"/>
      <c r="AZ1511" s="1"/>
      <c r="BA1511" s="1"/>
      <c r="BB1511" s="1"/>
      <c r="BC1511" s="1"/>
      <c r="BD1511" s="1"/>
      <c r="BE1511" s="1"/>
      <c r="BF1511" s="1"/>
      <c r="BG1511" s="1"/>
      <c r="BH1511" s="1"/>
      <c r="BI1511" s="1"/>
      <c r="BJ1511" s="1"/>
      <c r="BK1511" s="1"/>
      <c r="BL1511" s="1"/>
      <c r="BM1511" s="1"/>
      <c r="BN1511" s="1"/>
      <c r="BO1511" s="1"/>
      <c r="BP1511" s="1"/>
      <c r="BQ1511" s="1"/>
      <c r="BR1511" s="1"/>
      <c r="BS1511" s="1"/>
      <c r="BT1511" s="1"/>
      <c r="BU1511" s="1"/>
      <c r="BV1511" s="1"/>
      <c r="BW1511" s="1"/>
      <c r="BX1511" s="1"/>
      <c r="BY1511" s="1"/>
      <c r="BZ1511" s="1"/>
      <c r="CA1511" s="1"/>
      <c r="CB1511" s="1"/>
      <c r="CC1511" s="1"/>
      <c r="CD1511" s="1"/>
      <c r="CE1511" s="1"/>
      <c r="CF1511" s="1"/>
    </row>
    <row r="1512" spans="1:84" s="3" customFormat="1" ht="20" x14ac:dyDescent="0.2">
      <c r="A1512" s="17" t="s">
        <v>3921</v>
      </c>
      <c r="B1512" s="17" t="s">
        <v>45</v>
      </c>
      <c r="C1512" s="17">
        <v>2025</v>
      </c>
      <c r="D1512" s="17" t="str">
        <f t="array" ref="D1512">_xlfn.SWITCH(E1512,"Bagor","35.18.14","Sukomoro",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2" s="226" t="s">
        <v>162</v>
      </c>
      <c r="F1512" s="159" t="s">
        <v>3552</v>
      </c>
      <c r="G1512" s="219" t="s">
        <v>3558</v>
      </c>
      <c r="H1512" s="227" t="s">
        <v>2917</v>
      </c>
      <c r="I1512" s="228">
        <v>0</v>
      </c>
      <c r="J1512" s="228">
        <v>1</v>
      </c>
      <c r="K1512" s="226">
        <v>1</v>
      </c>
      <c r="L1512" s="229">
        <v>45000000</v>
      </c>
      <c r="M1512" s="150" t="s">
        <v>3559</v>
      </c>
      <c r="N1512" s="230">
        <v>25</v>
      </c>
      <c r="O1512" s="231" t="s">
        <v>422</v>
      </c>
      <c r="P1512" s="232">
        <v>1500000</v>
      </c>
      <c r="Q1512" s="231" t="s">
        <v>3560</v>
      </c>
      <c r="R1512" s="230">
        <v>200</v>
      </c>
      <c r="S1512" s="234" t="s">
        <v>422</v>
      </c>
      <c r="T1512" s="235">
        <v>1000000</v>
      </c>
      <c r="U1512" s="226" t="s">
        <v>22</v>
      </c>
      <c r="V1512" s="226"/>
      <c r="W1512" s="226"/>
      <c r="X1512" s="226"/>
      <c r="Y1512" s="226"/>
      <c r="Z1512" s="226"/>
      <c r="AA1512" s="226"/>
      <c r="AB1512" s="226"/>
      <c r="AC1512" s="226"/>
      <c r="AE1512" s="1"/>
      <c r="AF1512" s="2"/>
      <c r="AG1512" s="1"/>
      <c r="AH1512" s="1"/>
      <c r="AI1512" s="1"/>
      <c r="AJ1512" s="1"/>
      <c r="AK1512" s="1"/>
      <c r="AL1512" s="1"/>
      <c r="AM1512" s="1"/>
      <c r="AN1512" s="1"/>
      <c r="AO1512" s="1"/>
      <c r="AP1512" s="1"/>
      <c r="AQ1512" s="1"/>
      <c r="AR1512" s="1"/>
      <c r="AS1512" s="1"/>
      <c r="AT1512" s="1"/>
      <c r="AU1512" s="1"/>
      <c r="AV1512" s="1"/>
      <c r="AW1512" s="1"/>
      <c r="AX1512" s="1"/>
      <c r="AY1512" s="1"/>
      <c r="AZ1512" s="1"/>
      <c r="BA1512" s="1"/>
      <c r="BB1512" s="1"/>
      <c r="BC1512" s="1"/>
      <c r="BD1512" s="1"/>
      <c r="BE1512" s="1"/>
      <c r="BF1512" s="1"/>
      <c r="BG1512" s="1"/>
      <c r="BH1512" s="1"/>
      <c r="BI1512" s="1"/>
      <c r="BJ1512" s="1"/>
      <c r="BK1512" s="1"/>
      <c r="BL1512" s="1"/>
      <c r="BM1512" s="1"/>
      <c r="BN1512" s="1"/>
      <c r="BO1512" s="1"/>
      <c r="BP1512" s="1"/>
      <c r="BQ1512" s="1"/>
      <c r="BR1512" s="1"/>
      <c r="BS1512" s="1"/>
      <c r="BT1512" s="1"/>
      <c r="BU1512" s="1"/>
      <c r="BV1512" s="1"/>
      <c r="BW1512" s="1"/>
      <c r="BX1512" s="1"/>
      <c r="BY1512" s="1"/>
      <c r="BZ1512" s="1"/>
      <c r="CA1512" s="1"/>
      <c r="CB1512" s="1"/>
      <c r="CC1512" s="1"/>
      <c r="CD1512" s="1"/>
      <c r="CE1512" s="1"/>
      <c r="CF1512" s="1"/>
    </row>
    <row r="1513" spans="1:84" s="3" customFormat="1" ht="20" x14ac:dyDescent="0.2">
      <c r="A1513" s="17" t="s">
        <v>3921</v>
      </c>
      <c r="B1513" s="17" t="s">
        <v>45</v>
      </c>
      <c r="C1513" s="17">
        <v>2025</v>
      </c>
      <c r="D1513" s="17" t="str">
        <f t="array" ref="D1513">_xlfn.SWITCH(E1513,"Bagor","35.18.14","Sukomoro",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3" s="226" t="s">
        <v>162</v>
      </c>
      <c r="F1513" s="159" t="s">
        <v>3552</v>
      </c>
      <c r="G1513" s="219" t="s">
        <v>3561</v>
      </c>
      <c r="H1513" s="227" t="s">
        <v>2917</v>
      </c>
      <c r="I1513" s="228">
        <v>0</v>
      </c>
      <c r="J1513" s="228">
        <v>2</v>
      </c>
      <c r="K1513" s="226">
        <v>2</v>
      </c>
      <c r="L1513" s="229">
        <v>45000000</v>
      </c>
      <c r="M1513" s="150" t="s">
        <v>3562</v>
      </c>
      <c r="N1513" s="230">
        <v>250</v>
      </c>
      <c r="O1513" s="231" t="s">
        <v>3033</v>
      </c>
      <c r="P1513" s="232">
        <v>2000000</v>
      </c>
      <c r="Q1513" s="231" t="s">
        <v>3557</v>
      </c>
      <c r="R1513" s="230">
        <v>250</v>
      </c>
      <c r="S1513" s="234" t="s">
        <v>3563</v>
      </c>
      <c r="T1513" s="235">
        <v>1500000</v>
      </c>
      <c r="U1513" s="226" t="s">
        <v>22</v>
      </c>
      <c r="V1513" s="226" t="s">
        <v>50</v>
      </c>
      <c r="W1513" s="226">
        <v>1</v>
      </c>
      <c r="X1513" s="226" t="s">
        <v>3450</v>
      </c>
      <c r="Y1513" s="226"/>
      <c r="Z1513" s="226"/>
      <c r="AA1513" s="226"/>
      <c r="AB1513" s="226"/>
      <c r="AC1513" s="226"/>
      <c r="AE1513" s="1"/>
      <c r="AF1513" s="2"/>
      <c r="AG1513" s="1"/>
      <c r="AH1513" s="1"/>
      <c r="AI1513" s="1"/>
      <c r="AJ1513" s="1"/>
      <c r="AK1513" s="1"/>
      <c r="AL1513" s="1"/>
      <c r="AM1513" s="1"/>
      <c r="AN1513" s="1"/>
      <c r="AO1513" s="1"/>
      <c r="AP1513" s="1"/>
      <c r="AQ1513" s="1"/>
      <c r="AR1513" s="1"/>
      <c r="AS1513" s="1"/>
      <c r="AT1513" s="1"/>
      <c r="AU1513" s="1"/>
      <c r="AV1513" s="1"/>
      <c r="AW1513" s="1"/>
      <c r="AX1513" s="1"/>
      <c r="AY1513" s="1"/>
      <c r="AZ1513" s="1"/>
      <c r="BA1513" s="1"/>
      <c r="BB1513" s="1"/>
      <c r="BC1513" s="1"/>
      <c r="BD1513" s="1"/>
      <c r="BE1513" s="1"/>
      <c r="BF1513" s="1"/>
      <c r="BG1513" s="1"/>
      <c r="BH1513" s="1"/>
      <c r="BI1513" s="1"/>
      <c r="BJ1513" s="1"/>
      <c r="BK1513" s="1"/>
      <c r="BL1513" s="1"/>
      <c r="BM1513" s="1"/>
      <c r="BN1513" s="1"/>
      <c r="BO1513" s="1"/>
      <c r="BP1513" s="1"/>
      <c r="BQ1513" s="1"/>
      <c r="BR1513" s="1"/>
      <c r="BS1513" s="1"/>
      <c r="BT1513" s="1"/>
      <c r="BU1513" s="1"/>
      <c r="BV1513" s="1"/>
      <c r="BW1513" s="1"/>
      <c r="BX1513" s="1"/>
      <c r="BY1513" s="1"/>
      <c r="BZ1513" s="1"/>
      <c r="CA1513" s="1"/>
      <c r="CB1513" s="1"/>
      <c r="CC1513" s="1"/>
      <c r="CD1513" s="1"/>
      <c r="CE1513" s="1"/>
      <c r="CF1513" s="1"/>
    </row>
    <row r="1514" spans="1:84" s="3" customFormat="1" ht="20" x14ac:dyDescent="0.2">
      <c r="A1514" s="17" t="s">
        <v>3921</v>
      </c>
      <c r="B1514" s="17" t="s">
        <v>45</v>
      </c>
      <c r="C1514" s="17">
        <v>2025</v>
      </c>
      <c r="D1514" s="17" t="str">
        <f t="array" ref="D1514">_xlfn.SWITCH(E1514,"Bagor","35.18.14","Sukomoro",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4" s="226" t="s">
        <v>162</v>
      </c>
      <c r="F1514" s="159" t="s">
        <v>3552</v>
      </c>
      <c r="G1514" s="219" t="s">
        <v>3564</v>
      </c>
      <c r="H1514" s="227" t="s">
        <v>2917</v>
      </c>
      <c r="I1514" s="228">
        <v>0</v>
      </c>
      <c r="J1514" s="228">
        <v>1</v>
      </c>
      <c r="K1514" s="226">
        <v>1</v>
      </c>
      <c r="L1514" s="229">
        <v>45000000</v>
      </c>
      <c r="M1514" s="150" t="s">
        <v>3513</v>
      </c>
      <c r="N1514" s="230">
        <v>500</v>
      </c>
      <c r="O1514" s="231" t="s">
        <v>3033</v>
      </c>
      <c r="P1514" s="232">
        <v>1500000</v>
      </c>
      <c r="Q1514" s="231" t="s">
        <v>1642</v>
      </c>
      <c r="R1514" s="230">
        <v>50</v>
      </c>
      <c r="S1514" s="234" t="s">
        <v>422</v>
      </c>
      <c r="T1514" s="235">
        <v>500000</v>
      </c>
      <c r="U1514" s="226" t="s">
        <v>22</v>
      </c>
      <c r="V1514" s="226" t="s">
        <v>50</v>
      </c>
      <c r="W1514" s="226">
        <v>1</v>
      </c>
      <c r="X1514" s="226" t="s">
        <v>3450</v>
      </c>
      <c r="Y1514" s="226"/>
      <c r="Z1514" s="226"/>
      <c r="AA1514" s="226"/>
      <c r="AB1514" s="226"/>
      <c r="AC1514" s="226"/>
      <c r="AE1514" s="1"/>
      <c r="AF1514" s="2"/>
      <c r="AG1514" s="1"/>
      <c r="AH1514" s="1"/>
      <c r="AI1514" s="1"/>
      <c r="AJ1514" s="1"/>
      <c r="AK1514" s="1"/>
      <c r="AL1514" s="1"/>
      <c r="AM1514" s="1"/>
      <c r="AN1514" s="1"/>
      <c r="AO1514" s="1"/>
      <c r="AP1514" s="1"/>
      <c r="AQ1514" s="1"/>
      <c r="AR1514" s="1"/>
      <c r="AS1514" s="1"/>
      <c r="AT1514" s="1"/>
      <c r="AU1514" s="1"/>
      <c r="AV1514" s="1"/>
      <c r="AW1514" s="1"/>
      <c r="AX1514" s="1"/>
      <c r="AY1514" s="1"/>
      <c r="AZ1514" s="1"/>
      <c r="BA1514" s="1"/>
      <c r="BB1514" s="1"/>
      <c r="BC1514" s="1"/>
      <c r="BD1514" s="1"/>
      <c r="BE1514" s="1"/>
      <c r="BF1514" s="1"/>
      <c r="BG1514" s="1"/>
      <c r="BH1514" s="1"/>
      <c r="BI1514" s="1"/>
      <c r="BJ1514" s="1"/>
      <c r="BK1514" s="1"/>
      <c r="BL1514" s="1"/>
      <c r="BM1514" s="1"/>
      <c r="BN1514" s="1"/>
      <c r="BO1514" s="1"/>
      <c r="BP1514" s="1"/>
      <c r="BQ1514" s="1"/>
      <c r="BR1514" s="1"/>
      <c r="BS1514" s="1"/>
      <c r="BT1514" s="1"/>
      <c r="BU1514" s="1"/>
      <c r="BV1514" s="1"/>
      <c r="BW1514" s="1"/>
      <c r="BX1514" s="1"/>
      <c r="BY1514" s="1"/>
      <c r="BZ1514" s="1"/>
      <c r="CA1514" s="1"/>
      <c r="CB1514" s="1"/>
      <c r="CC1514" s="1"/>
      <c r="CD1514" s="1"/>
      <c r="CE1514" s="1"/>
      <c r="CF1514" s="1"/>
    </row>
    <row r="1515" spans="1:84" s="3" customFormat="1" ht="20" x14ac:dyDescent="0.2">
      <c r="A1515" s="17" t="s">
        <v>3921</v>
      </c>
      <c r="B1515" s="17" t="s">
        <v>45</v>
      </c>
      <c r="C1515" s="17">
        <v>2025</v>
      </c>
      <c r="D1515" s="17" t="str">
        <f t="array" ref="D1515">_xlfn.SWITCH(E1515,"Bagor","35.18.14","Sukomoro",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5" s="226" t="s">
        <v>162</v>
      </c>
      <c r="F1515" s="159" t="s">
        <v>3552</v>
      </c>
      <c r="G1515" s="219" t="s">
        <v>3565</v>
      </c>
      <c r="H1515" s="227" t="s">
        <v>2917</v>
      </c>
      <c r="I1515" s="228">
        <v>0</v>
      </c>
      <c r="J1515" s="228">
        <v>1</v>
      </c>
      <c r="K1515" s="226">
        <v>1</v>
      </c>
      <c r="L1515" s="229">
        <v>45000000</v>
      </c>
      <c r="M1515" s="150" t="s">
        <v>3566</v>
      </c>
      <c r="N1515" s="230">
        <v>500</v>
      </c>
      <c r="O1515" s="231" t="s">
        <v>3033</v>
      </c>
      <c r="P1515" s="232">
        <v>1000000</v>
      </c>
      <c r="Q1515" s="231" t="s">
        <v>2434</v>
      </c>
      <c r="R1515" s="230">
        <v>200</v>
      </c>
      <c r="S1515" s="234" t="s">
        <v>422</v>
      </c>
      <c r="T1515" s="235">
        <v>400000</v>
      </c>
      <c r="U1515" s="226" t="s">
        <v>22</v>
      </c>
      <c r="V1515" s="226" t="s">
        <v>50</v>
      </c>
      <c r="W1515" s="226">
        <v>1</v>
      </c>
      <c r="X1515" s="226" t="s">
        <v>3450</v>
      </c>
      <c r="Y1515" s="226"/>
      <c r="Z1515" s="226"/>
      <c r="AA1515" s="226"/>
      <c r="AB1515" s="226"/>
      <c r="AC1515" s="226"/>
      <c r="AE1515" s="1"/>
      <c r="AF1515" s="2"/>
      <c r="AG1515" s="1"/>
      <c r="AH1515" s="1"/>
      <c r="AI1515" s="1"/>
      <c r="AJ1515" s="1"/>
      <c r="AK1515" s="1"/>
      <c r="AL1515" s="1"/>
      <c r="AM1515" s="1"/>
      <c r="AN1515" s="1"/>
      <c r="AO1515" s="1"/>
      <c r="AP1515" s="1"/>
      <c r="AQ1515" s="1"/>
      <c r="AR1515" s="1"/>
      <c r="AS1515" s="1"/>
      <c r="AT1515" s="1"/>
      <c r="AU1515" s="1"/>
      <c r="AV1515" s="1"/>
      <c r="AW1515" s="1"/>
      <c r="AX1515" s="1"/>
      <c r="AY1515" s="1"/>
      <c r="AZ1515" s="1"/>
      <c r="BA1515" s="1"/>
      <c r="BB1515" s="1"/>
      <c r="BC1515" s="1"/>
      <c r="BD1515" s="1"/>
      <c r="BE1515" s="1"/>
      <c r="BF1515" s="1"/>
      <c r="BG1515" s="1"/>
      <c r="BH1515" s="1"/>
      <c r="BI1515" s="1"/>
      <c r="BJ1515" s="1"/>
      <c r="BK1515" s="1"/>
      <c r="BL1515" s="1"/>
      <c r="BM1515" s="1"/>
      <c r="BN1515" s="1"/>
      <c r="BO1515" s="1"/>
      <c r="BP1515" s="1"/>
      <c r="BQ1515" s="1"/>
      <c r="BR1515" s="1"/>
      <c r="BS1515" s="1"/>
      <c r="BT1515" s="1"/>
      <c r="BU1515" s="1"/>
      <c r="BV1515" s="1"/>
      <c r="BW1515" s="1"/>
      <c r="BX1515" s="1"/>
      <c r="BY1515" s="1"/>
      <c r="BZ1515" s="1"/>
      <c r="CA1515" s="1"/>
      <c r="CB1515" s="1"/>
      <c r="CC1515" s="1"/>
      <c r="CD1515" s="1"/>
      <c r="CE1515" s="1"/>
      <c r="CF1515" s="1"/>
    </row>
    <row r="1516" spans="1:84" s="3" customFormat="1" ht="20" x14ac:dyDescent="0.2">
      <c r="A1516" s="17" t="s">
        <v>3921</v>
      </c>
      <c r="B1516" s="17" t="s">
        <v>45</v>
      </c>
      <c r="C1516" s="17">
        <v>2025</v>
      </c>
      <c r="D1516" s="17" t="str">
        <f t="array" ref="D1516">_xlfn.SWITCH(E1516,"Bagor","35.18.14","Sukomoro",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6" s="226" t="s">
        <v>162</v>
      </c>
      <c r="F1516" s="159" t="s">
        <v>3567</v>
      </c>
      <c r="G1516" s="219" t="s">
        <v>3568</v>
      </c>
      <c r="H1516" s="227" t="s">
        <v>2917</v>
      </c>
      <c r="I1516" s="228">
        <v>0</v>
      </c>
      <c r="J1516" s="228">
        <v>1</v>
      </c>
      <c r="K1516" s="226">
        <v>1</v>
      </c>
      <c r="L1516" s="229">
        <v>40000000</v>
      </c>
      <c r="M1516" s="150" t="s">
        <v>3569</v>
      </c>
      <c r="N1516" s="230">
        <v>200</v>
      </c>
      <c r="O1516" s="231" t="s">
        <v>3033</v>
      </c>
      <c r="P1516" s="232">
        <v>1000000</v>
      </c>
      <c r="Q1516" s="231" t="s">
        <v>3570</v>
      </c>
      <c r="R1516" s="230">
        <v>150</v>
      </c>
      <c r="S1516" s="234" t="s">
        <v>422</v>
      </c>
      <c r="T1516" s="235">
        <v>300000</v>
      </c>
      <c r="U1516" s="226" t="s">
        <v>22</v>
      </c>
      <c r="V1516" s="226" t="s">
        <v>3449</v>
      </c>
      <c r="W1516" s="226">
        <v>0.5</v>
      </c>
      <c r="X1516" s="226" t="s">
        <v>3450</v>
      </c>
      <c r="Y1516" s="226"/>
      <c r="Z1516" s="226"/>
      <c r="AA1516" s="226"/>
      <c r="AB1516" s="226"/>
      <c r="AC1516" s="226"/>
      <c r="AE1516" s="1"/>
      <c r="AF1516" s="2"/>
      <c r="AG1516" s="1"/>
      <c r="AH1516" s="1"/>
      <c r="AI1516" s="1"/>
      <c r="AJ1516" s="1"/>
      <c r="AK1516" s="1"/>
      <c r="AL1516" s="1"/>
      <c r="AM1516" s="1"/>
      <c r="AN1516" s="1"/>
      <c r="AO1516" s="1"/>
      <c r="AP1516" s="1"/>
      <c r="AQ1516" s="1"/>
      <c r="AR1516" s="1"/>
      <c r="AS1516" s="1"/>
      <c r="AT1516" s="1"/>
      <c r="AU1516" s="1"/>
      <c r="AV1516" s="1"/>
      <c r="AW1516" s="1"/>
      <c r="AX1516" s="1"/>
      <c r="AY1516" s="1"/>
      <c r="AZ1516" s="1"/>
      <c r="BA1516" s="1"/>
      <c r="BB1516" s="1"/>
      <c r="BC1516" s="1"/>
      <c r="BD1516" s="1"/>
      <c r="BE1516" s="1"/>
      <c r="BF1516" s="1"/>
      <c r="BG1516" s="1"/>
      <c r="BH1516" s="1"/>
      <c r="BI1516" s="1"/>
      <c r="BJ1516" s="1"/>
      <c r="BK1516" s="1"/>
      <c r="BL1516" s="1"/>
      <c r="BM1516" s="1"/>
      <c r="BN1516" s="1"/>
      <c r="BO1516" s="1"/>
      <c r="BP1516" s="1"/>
      <c r="BQ1516" s="1"/>
      <c r="BR1516" s="1"/>
      <c r="BS1516" s="1"/>
      <c r="BT1516" s="1"/>
      <c r="BU1516" s="1"/>
      <c r="BV1516" s="1"/>
      <c r="BW1516" s="1"/>
      <c r="BX1516" s="1"/>
      <c r="BY1516" s="1"/>
      <c r="BZ1516" s="1"/>
      <c r="CA1516" s="1"/>
      <c r="CB1516" s="1"/>
      <c r="CC1516" s="1"/>
      <c r="CD1516" s="1"/>
      <c r="CE1516" s="1"/>
      <c r="CF1516" s="1"/>
    </row>
    <row r="1517" spans="1:84" s="3" customFormat="1" ht="30" x14ac:dyDescent="0.2">
      <c r="A1517" s="17" t="s">
        <v>3921</v>
      </c>
      <c r="B1517" s="17" t="s">
        <v>45</v>
      </c>
      <c r="C1517" s="17">
        <v>2025</v>
      </c>
      <c r="D1517" s="17" t="str">
        <f t="array" ref="D1517">_xlfn.SWITCH(E1517,"Bagor","35.18.14","Sukomoro",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7" s="226" t="s">
        <v>162</v>
      </c>
      <c r="F1517" s="159" t="s">
        <v>3571</v>
      </c>
      <c r="G1517" s="219" t="s">
        <v>3572</v>
      </c>
      <c r="H1517" s="227" t="s">
        <v>2917</v>
      </c>
      <c r="I1517" s="228">
        <v>1</v>
      </c>
      <c r="J1517" s="228">
        <v>0</v>
      </c>
      <c r="K1517" s="226">
        <v>1</v>
      </c>
      <c r="L1517" s="229">
        <v>50000000</v>
      </c>
      <c r="M1517" s="150" t="s">
        <v>3513</v>
      </c>
      <c r="N1517" s="230">
        <v>10000</v>
      </c>
      <c r="O1517" s="231" t="s">
        <v>3033</v>
      </c>
      <c r="P1517" s="232">
        <v>4000000</v>
      </c>
      <c r="Q1517" s="231" t="s">
        <v>1642</v>
      </c>
      <c r="R1517" s="230">
        <v>900</v>
      </c>
      <c r="S1517" s="234" t="s">
        <v>422</v>
      </c>
      <c r="T1517" s="235">
        <v>3000000</v>
      </c>
      <c r="U1517" s="226" t="s">
        <v>22</v>
      </c>
      <c r="V1517" s="226" t="s">
        <v>50</v>
      </c>
      <c r="W1517" s="226">
        <v>2</v>
      </c>
      <c r="X1517" s="226" t="s">
        <v>3450</v>
      </c>
      <c r="Y1517" s="226"/>
      <c r="Z1517" s="226"/>
      <c r="AA1517" s="226"/>
      <c r="AB1517" s="226"/>
      <c r="AC1517" s="226"/>
      <c r="AE1517" s="1"/>
      <c r="AF1517" s="2"/>
      <c r="AG1517" s="1"/>
      <c r="AH1517" s="1"/>
      <c r="AI1517" s="1"/>
      <c r="AJ1517" s="1"/>
      <c r="AK1517" s="1"/>
      <c r="AL1517" s="1"/>
      <c r="AM1517" s="1"/>
      <c r="AN1517" s="1"/>
      <c r="AO1517" s="1"/>
      <c r="AP1517" s="1"/>
      <c r="AQ1517" s="1"/>
      <c r="AR1517" s="1"/>
      <c r="AS1517" s="1"/>
      <c r="AT1517" s="1"/>
      <c r="AU1517" s="1"/>
      <c r="AV1517" s="1"/>
      <c r="AW1517" s="1"/>
      <c r="AX1517" s="1"/>
      <c r="AY1517" s="1"/>
      <c r="AZ1517" s="1"/>
      <c r="BA1517" s="1"/>
      <c r="BB1517" s="1"/>
      <c r="BC1517" s="1"/>
      <c r="BD1517" s="1"/>
      <c r="BE1517" s="1"/>
      <c r="BF1517" s="1"/>
      <c r="BG1517" s="1"/>
      <c r="BH1517" s="1"/>
      <c r="BI1517" s="1"/>
      <c r="BJ1517" s="1"/>
      <c r="BK1517" s="1"/>
      <c r="BL1517" s="1"/>
      <c r="BM1517" s="1"/>
      <c r="BN1517" s="1"/>
      <c r="BO1517" s="1"/>
      <c r="BP1517" s="1"/>
      <c r="BQ1517" s="1"/>
      <c r="BR1517" s="1"/>
      <c r="BS1517" s="1"/>
      <c r="BT1517" s="1"/>
      <c r="BU1517" s="1"/>
      <c r="BV1517" s="1"/>
      <c r="BW1517" s="1"/>
      <c r="BX1517" s="1"/>
      <c r="BY1517" s="1"/>
      <c r="BZ1517" s="1"/>
      <c r="CA1517" s="1"/>
      <c r="CB1517" s="1"/>
      <c r="CC1517" s="1"/>
      <c r="CD1517" s="1"/>
      <c r="CE1517" s="1"/>
      <c r="CF1517" s="1"/>
    </row>
    <row r="1518" spans="1:84" s="3" customFormat="1" ht="30" x14ac:dyDescent="0.2">
      <c r="A1518" s="17" t="s">
        <v>3921</v>
      </c>
      <c r="B1518" s="17" t="s">
        <v>45</v>
      </c>
      <c r="C1518" s="17">
        <v>2025</v>
      </c>
      <c r="D1518" s="17" t="str">
        <f t="array" ref="D1518">_xlfn.SWITCH(E1518,"Bagor","35.18.14","Sukomoro",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8" s="226" t="s">
        <v>162</v>
      </c>
      <c r="F1518" s="159" t="s">
        <v>3573</v>
      </c>
      <c r="G1518" s="219" t="s">
        <v>3574</v>
      </c>
      <c r="H1518" s="227" t="s">
        <v>2917</v>
      </c>
      <c r="I1518" s="228">
        <v>15</v>
      </c>
      <c r="J1518" s="228">
        <v>11</v>
      </c>
      <c r="K1518" s="226">
        <v>26</v>
      </c>
      <c r="L1518" s="229">
        <v>75000000</v>
      </c>
      <c r="M1518" s="150" t="s">
        <v>3575</v>
      </c>
      <c r="N1518" s="230">
        <v>1500</v>
      </c>
      <c r="O1518" s="231" t="s">
        <v>3033</v>
      </c>
      <c r="P1518" s="232">
        <v>10000000</v>
      </c>
      <c r="Q1518" s="231" t="s">
        <v>2434</v>
      </c>
      <c r="R1518" s="230">
        <v>10</v>
      </c>
      <c r="S1518" s="234" t="s">
        <v>1238</v>
      </c>
      <c r="T1518" s="235">
        <v>15000000</v>
      </c>
      <c r="U1518" s="226" t="s">
        <v>22</v>
      </c>
      <c r="V1518" s="226" t="s">
        <v>3014</v>
      </c>
      <c r="W1518" s="226">
        <v>30</v>
      </c>
      <c r="X1518" s="226" t="s">
        <v>3033</v>
      </c>
      <c r="Y1518" s="226"/>
      <c r="Z1518" s="226"/>
      <c r="AA1518" s="226"/>
      <c r="AB1518" s="226"/>
      <c r="AC1518" s="226"/>
      <c r="AE1518" s="1"/>
      <c r="AF1518" s="2"/>
      <c r="AG1518" s="1"/>
      <c r="AH1518" s="1"/>
      <c r="AI1518" s="1"/>
      <c r="AJ1518" s="1"/>
      <c r="AK1518" s="1"/>
      <c r="AL1518" s="1"/>
      <c r="AM1518" s="1"/>
      <c r="AN1518" s="1"/>
      <c r="AO1518" s="1"/>
      <c r="AP1518" s="1"/>
      <c r="AQ1518" s="1"/>
      <c r="AR1518" s="1"/>
      <c r="AS1518" s="1"/>
      <c r="AT1518" s="1"/>
      <c r="AU1518" s="1"/>
      <c r="AV1518" s="1"/>
      <c r="AW1518" s="1"/>
      <c r="AX1518" s="1"/>
      <c r="AY1518" s="1"/>
      <c r="AZ1518" s="1"/>
      <c r="BA1518" s="1"/>
      <c r="BB1518" s="1"/>
      <c r="BC1518" s="1"/>
      <c r="BD1518" s="1"/>
      <c r="BE1518" s="1"/>
      <c r="BF1518" s="1"/>
      <c r="BG1518" s="1"/>
      <c r="BH1518" s="1"/>
      <c r="BI1518" s="1"/>
      <c r="BJ1518" s="1"/>
      <c r="BK1518" s="1"/>
      <c r="BL1518" s="1"/>
      <c r="BM1518" s="1"/>
      <c r="BN1518" s="1"/>
      <c r="BO1518" s="1"/>
      <c r="BP1518" s="1"/>
      <c r="BQ1518" s="1"/>
      <c r="BR1518" s="1"/>
      <c r="BS1518" s="1"/>
      <c r="BT1518" s="1"/>
      <c r="BU1518" s="1"/>
      <c r="BV1518" s="1"/>
      <c r="BW1518" s="1"/>
      <c r="BX1518" s="1"/>
      <c r="BY1518" s="1"/>
      <c r="BZ1518" s="1"/>
      <c r="CA1518" s="1"/>
      <c r="CB1518" s="1"/>
      <c r="CC1518" s="1"/>
      <c r="CD1518" s="1"/>
      <c r="CE1518" s="1"/>
      <c r="CF1518" s="1"/>
    </row>
    <row r="1519" spans="1:84" s="3" customFormat="1" ht="30" x14ac:dyDescent="0.2">
      <c r="A1519" s="17" t="s">
        <v>3921</v>
      </c>
      <c r="B1519" s="17" t="s">
        <v>45</v>
      </c>
      <c r="C1519" s="17">
        <v>2025</v>
      </c>
      <c r="D1519" s="17" t="str">
        <f t="array" ref="D1519">_xlfn.SWITCH(E1519,"Bagor","35.18.14","Sukomoro",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9" s="226" t="s">
        <v>162</v>
      </c>
      <c r="F1519" s="159" t="s">
        <v>3573</v>
      </c>
      <c r="G1519" s="219" t="s">
        <v>3576</v>
      </c>
      <c r="H1519" s="227" t="s">
        <v>2917</v>
      </c>
      <c r="I1519" s="228">
        <v>7</v>
      </c>
      <c r="J1519" s="228">
        <v>1</v>
      </c>
      <c r="K1519" s="226">
        <v>8</v>
      </c>
      <c r="L1519" s="229">
        <v>50000000</v>
      </c>
      <c r="M1519" s="150" t="s">
        <v>3453</v>
      </c>
      <c r="N1519" s="230">
        <v>100</v>
      </c>
      <c r="O1519" s="231" t="s">
        <v>422</v>
      </c>
      <c r="P1519" s="232">
        <v>100000</v>
      </c>
      <c r="Q1519" s="231" t="s">
        <v>1642</v>
      </c>
      <c r="R1519" s="230">
        <v>100</v>
      </c>
      <c r="S1519" s="234" t="s">
        <v>1238</v>
      </c>
      <c r="T1519" s="235">
        <v>5000000</v>
      </c>
      <c r="U1519" s="226" t="s">
        <v>22</v>
      </c>
      <c r="V1519" s="226" t="s">
        <v>50</v>
      </c>
      <c r="W1519" s="226">
        <v>5</v>
      </c>
      <c r="X1519" s="226" t="s">
        <v>3450</v>
      </c>
      <c r="Y1519" s="226"/>
      <c r="Z1519" s="226"/>
      <c r="AA1519" s="226"/>
      <c r="AB1519" s="226"/>
      <c r="AC1519" s="226"/>
      <c r="AE1519" s="1"/>
      <c r="AF1519" s="2"/>
      <c r="AG1519" s="1"/>
      <c r="AH1519" s="1"/>
      <c r="AI1519" s="1"/>
      <c r="AJ1519" s="1"/>
      <c r="AK1519" s="1"/>
      <c r="AL1519" s="1"/>
      <c r="AM1519" s="1"/>
      <c r="AN1519" s="1"/>
      <c r="AO1519" s="1"/>
      <c r="AP1519" s="1"/>
      <c r="AQ1519" s="1"/>
      <c r="AR1519" s="1"/>
      <c r="AS1519" s="1"/>
      <c r="AT1519" s="1"/>
      <c r="AU1519" s="1"/>
      <c r="AV1519" s="1"/>
      <c r="AW1519" s="1"/>
      <c r="AX1519" s="1"/>
      <c r="AY1519" s="1"/>
      <c r="AZ1519" s="1"/>
      <c r="BA1519" s="1"/>
      <c r="BB1519" s="1"/>
      <c r="BC1519" s="1"/>
      <c r="BD1519" s="1"/>
      <c r="BE1519" s="1"/>
      <c r="BF1519" s="1"/>
      <c r="BG1519" s="1"/>
      <c r="BH1519" s="1"/>
      <c r="BI1519" s="1"/>
      <c r="BJ1519" s="1"/>
      <c r="BK1519" s="1"/>
      <c r="BL1519" s="1"/>
      <c r="BM1519" s="1"/>
      <c r="BN1519" s="1"/>
      <c r="BO1519" s="1"/>
      <c r="BP1519" s="1"/>
      <c r="BQ1519" s="1"/>
      <c r="BR1519" s="1"/>
      <c r="BS1519" s="1"/>
      <c r="BT1519" s="1"/>
      <c r="BU1519" s="1"/>
      <c r="BV1519" s="1"/>
      <c r="BW1519" s="1"/>
      <c r="BX1519" s="1"/>
      <c r="BY1519" s="1"/>
      <c r="BZ1519" s="1"/>
      <c r="CA1519" s="1"/>
      <c r="CB1519" s="1"/>
      <c r="CC1519" s="1"/>
      <c r="CD1519" s="1"/>
      <c r="CE1519" s="1"/>
      <c r="CF1519" s="1"/>
    </row>
    <row r="1520" spans="1:84" s="3" customFormat="1" ht="20" x14ac:dyDescent="0.2">
      <c r="A1520" s="17" t="s">
        <v>3921</v>
      </c>
      <c r="B1520" s="17" t="s">
        <v>45</v>
      </c>
      <c r="C1520" s="17">
        <v>2025</v>
      </c>
      <c r="D1520" s="17" t="str">
        <f t="array" ref="D1520">_xlfn.SWITCH(E1520,"Bagor","35.18.14","Sukomoro",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20" s="226" t="s">
        <v>162</v>
      </c>
      <c r="F1520" s="159" t="s">
        <v>3577</v>
      </c>
      <c r="G1520" s="219" t="s">
        <v>3578</v>
      </c>
      <c r="H1520" s="227" t="s">
        <v>2917</v>
      </c>
      <c r="I1520" s="228">
        <v>4</v>
      </c>
      <c r="J1520" s="228">
        <v>4</v>
      </c>
      <c r="K1520" s="226">
        <v>8</v>
      </c>
      <c r="L1520" s="229">
        <v>75000000</v>
      </c>
      <c r="M1520" s="150" t="s">
        <v>3579</v>
      </c>
      <c r="N1520" s="230">
        <v>5000</v>
      </c>
      <c r="O1520" s="231" t="s">
        <v>422</v>
      </c>
      <c r="P1520" s="232">
        <v>7000000</v>
      </c>
      <c r="Q1520" s="231" t="s">
        <v>2434</v>
      </c>
      <c r="R1520" s="230">
        <v>1.5</v>
      </c>
      <c r="S1520" s="234" t="s">
        <v>1238</v>
      </c>
      <c r="T1520" s="235">
        <v>3000000</v>
      </c>
      <c r="U1520" s="226" t="s">
        <v>22</v>
      </c>
      <c r="V1520" s="226" t="s">
        <v>50</v>
      </c>
      <c r="W1520" s="226">
        <v>3</v>
      </c>
      <c r="X1520" s="226" t="s">
        <v>3450</v>
      </c>
      <c r="Y1520" s="226"/>
      <c r="Z1520" s="226"/>
      <c r="AA1520" s="226"/>
      <c r="AB1520" s="226"/>
      <c r="AC1520" s="226"/>
      <c r="AE1520" s="1"/>
      <c r="AF1520" s="2"/>
      <c r="AG1520" s="1"/>
      <c r="AH1520" s="1"/>
      <c r="AI1520" s="1"/>
      <c r="AJ1520" s="1"/>
      <c r="AK1520" s="1"/>
      <c r="AL1520" s="1"/>
      <c r="AM1520" s="1"/>
      <c r="AN1520" s="1"/>
      <c r="AO1520" s="1"/>
      <c r="AP1520" s="1"/>
      <c r="AQ1520" s="1"/>
      <c r="AR1520" s="1"/>
      <c r="AS1520" s="1"/>
      <c r="AT1520" s="1"/>
      <c r="AU1520" s="1"/>
      <c r="AV1520" s="1"/>
      <c r="AW1520" s="1"/>
      <c r="AX1520" s="1"/>
      <c r="AY1520" s="1"/>
      <c r="AZ1520" s="1"/>
      <c r="BA1520" s="1"/>
      <c r="BB1520" s="1"/>
      <c r="BC1520" s="1"/>
      <c r="BD1520" s="1"/>
      <c r="BE1520" s="1"/>
      <c r="BF1520" s="1"/>
      <c r="BG1520" s="1"/>
      <c r="BH1520" s="1"/>
      <c r="BI1520" s="1"/>
      <c r="BJ1520" s="1"/>
      <c r="BK1520" s="1"/>
      <c r="BL1520" s="1"/>
      <c r="BM1520" s="1"/>
      <c r="BN1520" s="1"/>
      <c r="BO1520" s="1"/>
      <c r="BP1520" s="1"/>
      <c r="BQ1520" s="1"/>
      <c r="BR1520" s="1"/>
      <c r="BS1520" s="1"/>
      <c r="BT1520" s="1"/>
      <c r="BU1520" s="1"/>
      <c r="BV1520" s="1"/>
      <c r="BW1520" s="1"/>
      <c r="BX1520" s="1"/>
      <c r="BY1520" s="1"/>
      <c r="BZ1520" s="1"/>
      <c r="CA1520" s="1"/>
      <c r="CB1520" s="1"/>
      <c r="CC1520" s="1"/>
      <c r="CD1520" s="1"/>
      <c r="CE1520" s="1"/>
      <c r="CF1520" s="1"/>
    </row>
    <row r="1521" spans="1:84" s="3" customFormat="1" ht="20" x14ac:dyDescent="0.2">
      <c r="A1521" s="17" t="s">
        <v>3921</v>
      </c>
      <c r="B1521" s="17" t="s">
        <v>45</v>
      </c>
      <c r="C1521" s="17">
        <v>2025</v>
      </c>
      <c r="D1521" s="17" t="str">
        <f t="array" ref="D1521">_xlfn.SWITCH(E1521,"Jatikalen","35.18.20","Kertosono", "35.18.08","Lengkong","35.18.19","Loceret","35.18.04","Tanjunganom","35.18.11","Wilangan","35.18.15")</f>
        <v>35.18.20</v>
      </c>
      <c r="E1521" s="10" t="s">
        <v>1083</v>
      </c>
      <c r="F1521" s="195" t="s">
        <v>3580</v>
      </c>
      <c r="G1521" s="195" t="s">
        <v>3581</v>
      </c>
      <c r="H1521" s="238" t="s">
        <v>31</v>
      </c>
      <c r="I1521" s="16">
        <v>0</v>
      </c>
      <c r="J1521" s="16">
        <v>1</v>
      </c>
      <c r="K1521" s="10">
        <v>1</v>
      </c>
      <c r="L1521" s="13">
        <v>1000000</v>
      </c>
      <c r="M1521" s="195" t="s">
        <v>2464</v>
      </c>
      <c r="N1521" s="14">
        <v>1200</v>
      </c>
      <c r="O1521" s="10" t="s">
        <v>152</v>
      </c>
      <c r="P1521" s="14">
        <v>1200000</v>
      </c>
      <c r="Q1521" s="195" t="s">
        <v>1963</v>
      </c>
      <c r="R1521" s="209"/>
      <c r="S1521" s="10"/>
      <c r="T1521" s="14">
        <v>400000</v>
      </c>
      <c r="U1521" s="10"/>
      <c r="V1521" s="16" t="s">
        <v>3356</v>
      </c>
      <c r="W1521" s="10">
        <v>8</v>
      </c>
      <c r="X1521" s="10" t="s">
        <v>3357</v>
      </c>
      <c r="Y1521" s="21" t="s">
        <v>3005</v>
      </c>
      <c r="Z1521" s="10"/>
      <c r="AA1521" s="10"/>
      <c r="AB1521" s="10"/>
      <c r="AC1521" s="12"/>
      <c r="AE1521" s="1"/>
      <c r="AF1521" s="2"/>
      <c r="AG1521" s="1"/>
      <c r="AH1521" s="1"/>
      <c r="AI1521" s="1"/>
      <c r="AJ1521" s="1"/>
      <c r="AK1521" s="1"/>
      <c r="AL1521" s="1"/>
      <c r="AM1521" s="1"/>
      <c r="AN1521" s="1"/>
      <c r="AO1521" s="1"/>
      <c r="AP1521" s="1"/>
      <c r="AQ1521" s="1"/>
      <c r="AR1521" s="1"/>
      <c r="AS1521" s="1"/>
      <c r="AT1521" s="1"/>
      <c r="AU1521" s="1"/>
      <c r="AV1521" s="1"/>
      <c r="AW1521" s="1"/>
      <c r="AX1521" s="1"/>
      <c r="AY1521" s="1"/>
      <c r="AZ1521" s="1"/>
      <c r="BA1521" s="1"/>
      <c r="BB1521" s="1"/>
      <c r="BC1521" s="1"/>
      <c r="BD1521" s="1"/>
      <c r="BE1521" s="1"/>
      <c r="BF1521" s="1"/>
      <c r="BG1521" s="1"/>
      <c r="BH1521" s="1"/>
      <c r="BI1521" s="1"/>
      <c r="BJ1521" s="1"/>
      <c r="BK1521" s="1"/>
      <c r="BL1521" s="1"/>
      <c r="BM1521" s="1"/>
      <c r="BN1521" s="1"/>
      <c r="BO1521" s="1"/>
      <c r="BP1521" s="1"/>
      <c r="BQ1521" s="1"/>
      <c r="BR1521" s="1"/>
      <c r="BS1521" s="1"/>
      <c r="BT1521" s="1"/>
      <c r="BU1521" s="1"/>
      <c r="BV1521" s="1"/>
      <c r="BW1521" s="1"/>
      <c r="BX1521" s="1"/>
      <c r="BY1521" s="1"/>
      <c r="BZ1521" s="1"/>
      <c r="CA1521" s="1"/>
      <c r="CB1521" s="1"/>
      <c r="CC1521" s="1"/>
      <c r="CD1521" s="1"/>
      <c r="CE1521" s="1"/>
      <c r="CF1521" s="1"/>
    </row>
    <row r="1522" spans="1:84" s="3" customFormat="1" ht="20" x14ac:dyDescent="0.2">
      <c r="A1522" s="17" t="s">
        <v>3921</v>
      </c>
      <c r="B1522" s="17" t="s">
        <v>45</v>
      </c>
      <c r="C1522" s="17">
        <v>2025</v>
      </c>
      <c r="D1522" s="17" t="str">
        <f t="array" ref="D1522">_xlfn.SWITCH(E1522,"Jatikalen","35.18.20","Kertosono", "35.18.08","Lengkong","35.18.19","Loceret","35.18.04","Tanjunganom","35.18.11","Wilangan","35.18.15")</f>
        <v>35.18.20</v>
      </c>
      <c r="E1522" s="10" t="s">
        <v>1083</v>
      </c>
      <c r="F1522" s="195" t="s">
        <v>3582</v>
      </c>
      <c r="G1522" s="195" t="s">
        <v>3583</v>
      </c>
      <c r="H1522" s="10" t="s">
        <v>3584</v>
      </c>
      <c r="I1522" s="16">
        <v>2</v>
      </c>
      <c r="J1522" s="16">
        <v>1</v>
      </c>
      <c r="K1522" s="10">
        <v>3</v>
      </c>
      <c r="L1522" s="13">
        <v>800000</v>
      </c>
      <c r="M1522" s="198" t="s">
        <v>2443</v>
      </c>
      <c r="N1522" s="14">
        <v>160</v>
      </c>
      <c r="O1522" s="10" t="s">
        <v>3585</v>
      </c>
      <c r="P1522" s="14">
        <v>1600000</v>
      </c>
      <c r="Q1522" s="195" t="s">
        <v>3586</v>
      </c>
      <c r="R1522" s="15">
        <v>12</v>
      </c>
      <c r="S1522" s="10" t="s">
        <v>35</v>
      </c>
      <c r="T1522" s="14">
        <v>144000</v>
      </c>
      <c r="U1522" s="10"/>
      <c r="V1522" s="16" t="s">
        <v>3356</v>
      </c>
      <c r="W1522" s="10">
        <v>1</v>
      </c>
      <c r="X1522" s="10" t="s">
        <v>3357</v>
      </c>
      <c r="Y1522" s="21" t="s">
        <v>3005</v>
      </c>
      <c r="Z1522" s="10"/>
      <c r="AA1522" s="10"/>
      <c r="AB1522" s="10"/>
      <c r="AC1522" s="12"/>
      <c r="AE1522" s="1"/>
      <c r="AF1522" s="2"/>
      <c r="AG1522" s="1"/>
      <c r="AH1522" s="1"/>
      <c r="AI1522" s="1"/>
      <c r="AJ1522" s="1"/>
      <c r="AK1522" s="1"/>
      <c r="AL1522" s="1"/>
      <c r="AM1522" s="1"/>
      <c r="AN1522" s="1"/>
      <c r="AO1522" s="1"/>
      <c r="AP1522" s="1"/>
      <c r="AQ1522" s="1"/>
      <c r="AR1522" s="1"/>
      <c r="AS1522" s="1"/>
      <c r="AT1522" s="1"/>
      <c r="AU1522" s="1"/>
      <c r="AV1522" s="1"/>
      <c r="AW1522" s="1"/>
      <c r="AX1522" s="1"/>
      <c r="AY1522" s="1"/>
      <c r="AZ1522" s="1"/>
      <c r="BA1522" s="1"/>
      <c r="BB1522" s="1"/>
      <c r="BC1522" s="1"/>
      <c r="BD1522" s="1"/>
      <c r="BE1522" s="1"/>
      <c r="BF1522" s="1"/>
      <c r="BG1522" s="1"/>
      <c r="BH1522" s="1"/>
      <c r="BI1522" s="1"/>
      <c r="BJ1522" s="1"/>
      <c r="BK1522" s="1"/>
      <c r="BL1522" s="1"/>
      <c r="BM1522" s="1"/>
      <c r="BN1522" s="1"/>
      <c r="BO1522" s="1"/>
      <c r="BP1522" s="1"/>
      <c r="BQ1522" s="1"/>
      <c r="BR1522" s="1"/>
      <c r="BS1522" s="1"/>
      <c r="BT1522" s="1"/>
      <c r="BU1522" s="1"/>
      <c r="BV1522" s="1"/>
      <c r="BW1522" s="1"/>
      <c r="BX1522" s="1"/>
      <c r="BY1522" s="1"/>
      <c r="BZ1522" s="1"/>
      <c r="CA1522" s="1"/>
      <c r="CB1522" s="1"/>
      <c r="CC1522" s="1"/>
      <c r="CD1522" s="1"/>
      <c r="CE1522" s="1"/>
      <c r="CF1522" s="1"/>
    </row>
    <row r="1523" spans="1:84" s="3" customFormat="1" ht="20" x14ac:dyDescent="0.2">
      <c r="A1523" s="17" t="s">
        <v>3921</v>
      </c>
      <c r="B1523" s="17" t="s">
        <v>45</v>
      </c>
      <c r="C1523" s="17">
        <v>2025</v>
      </c>
      <c r="D1523" s="17" t="str">
        <f t="array" ref="D1523">_xlfn.SWITCH(E1523,"Jatikalen","35.18.20","Kertosono", "35.18.08","Lengkong","35.18.19","Loceret","35.18.04","Tanjunganom","35.18.11","Wilangan","35.18.15")</f>
        <v>35.18.20</v>
      </c>
      <c r="E1523" s="10" t="s">
        <v>1083</v>
      </c>
      <c r="F1523" s="195" t="s">
        <v>3587</v>
      </c>
      <c r="G1523" s="195" t="s">
        <v>3588</v>
      </c>
      <c r="H1523" s="10" t="s">
        <v>31</v>
      </c>
      <c r="I1523" s="16">
        <v>0</v>
      </c>
      <c r="J1523" s="16">
        <v>1</v>
      </c>
      <c r="K1523" s="10">
        <v>1</v>
      </c>
      <c r="L1523" s="13">
        <v>1280000</v>
      </c>
      <c r="M1523" s="17" t="s">
        <v>3589</v>
      </c>
      <c r="N1523" s="14">
        <v>184</v>
      </c>
      <c r="O1523" s="10" t="s">
        <v>259</v>
      </c>
      <c r="P1523" s="14">
        <v>1840000</v>
      </c>
      <c r="Q1523" s="17" t="s">
        <v>3590</v>
      </c>
      <c r="R1523" s="15"/>
      <c r="S1523" s="10"/>
      <c r="T1523" s="14">
        <v>1052000</v>
      </c>
      <c r="U1523" s="10"/>
      <c r="V1523" s="16" t="s">
        <v>3356</v>
      </c>
      <c r="W1523" s="10">
        <v>4</v>
      </c>
      <c r="X1523" s="10" t="s">
        <v>3357</v>
      </c>
      <c r="Y1523" s="21" t="s">
        <v>3005</v>
      </c>
      <c r="Z1523" s="10"/>
      <c r="AA1523" s="10"/>
      <c r="AB1523" s="10"/>
      <c r="AC1523" s="12"/>
      <c r="AE1523" s="1"/>
      <c r="AF1523" s="2"/>
      <c r="AG1523" s="1"/>
      <c r="AH1523" s="1"/>
      <c r="AI1523" s="1"/>
      <c r="AJ1523" s="1"/>
      <c r="AK1523" s="1"/>
      <c r="AL1523" s="1"/>
      <c r="AM1523" s="1"/>
      <c r="AN1523" s="1"/>
      <c r="AO1523" s="1"/>
      <c r="AP1523" s="1"/>
      <c r="AQ1523" s="1"/>
      <c r="AR1523" s="1"/>
      <c r="AS1523" s="1"/>
      <c r="AT1523" s="1"/>
      <c r="AU1523" s="1"/>
      <c r="AV1523" s="1"/>
      <c r="AW1523" s="1"/>
      <c r="AX1523" s="1"/>
      <c r="AY1523" s="1"/>
      <c r="AZ1523" s="1"/>
      <c r="BA1523" s="1"/>
      <c r="BB1523" s="1"/>
      <c r="BC1523" s="1"/>
      <c r="BD1523" s="1"/>
      <c r="BE1523" s="1"/>
      <c r="BF1523" s="1"/>
      <c r="BG1523" s="1"/>
      <c r="BH1523" s="1"/>
      <c r="BI1523" s="1"/>
      <c r="BJ1523" s="1"/>
      <c r="BK1523" s="1"/>
      <c r="BL1523" s="1"/>
      <c r="BM1523" s="1"/>
      <c r="BN1523" s="1"/>
      <c r="BO1523" s="1"/>
      <c r="BP1523" s="1"/>
      <c r="BQ1523" s="1"/>
      <c r="BR1523" s="1"/>
      <c r="BS1523" s="1"/>
      <c r="BT1523" s="1"/>
      <c r="BU1523" s="1"/>
      <c r="BV1523" s="1"/>
      <c r="BW1523" s="1"/>
      <c r="BX1523" s="1"/>
      <c r="BY1523" s="1"/>
      <c r="BZ1523" s="1"/>
      <c r="CA1523" s="1"/>
      <c r="CB1523" s="1"/>
      <c r="CC1523" s="1"/>
      <c r="CD1523" s="1"/>
      <c r="CE1523" s="1"/>
      <c r="CF1523" s="1"/>
    </row>
    <row r="1524" spans="1:84" s="3" customFormat="1" ht="20" x14ac:dyDescent="0.2">
      <c r="A1524" s="17" t="s">
        <v>3921</v>
      </c>
      <c r="B1524" s="17" t="s">
        <v>45</v>
      </c>
      <c r="C1524" s="17">
        <v>2025</v>
      </c>
      <c r="D1524" s="17" t="str">
        <f t="array" ref="D1524">_xlfn.SWITCH(E1524,"Jatikalen","35.18.20","Kertosono", "35.18.08","Lengkong","35.18.19","Loceret","35.18.04","Tanjunganom","35.18.11","Wilangan","35.18.15")</f>
        <v>35.18.20</v>
      </c>
      <c r="E1524" s="10" t="s">
        <v>1083</v>
      </c>
      <c r="F1524" s="195" t="s">
        <v>3591</v>
      </c>
      <c r="G1524" s="195" t="s">
        <v>3592</v>
      </c>
      <c r="H1524" s="10" t="s">
        <v>31</v>
      </c>
      <c r="I1524" s="16">
        <v>0</v>
      </c>
      <c r="J1524" s="16">
        <v>1</v>
      </c>
      <c r="K1524" s="10">
        <v>1</v>
      </c>
      <c r="L1524" s="13">
        <v>1800000</v>
      </c>
      <c r="M1524" s="195" t="s">
        <v>3593</v>
      </c>
      <c r="N1524" s="14">
        <v>3600</v>
      </c>
      <c r="O1524" s="10" t="s">
        <v>3360</v>
      </c>
      <c r="P1524" s="14">
        <v>3600000</v>
      </c>
      <c r="Q1524" s="195" t="s">
        <v>3401</v>
      </c>
      <c r="R1524" s="15">
        <v>60</v>
      </c>
      <c r="S1524" s="10" t="s">
        <v>35</v>
      </c>
      <c r="T1524" s="14">
        <v>1800000</v>
      </c>
      <c r="U1524" s="10"/>
      <c r="V1524" s="16" t="s">
        <v>3356</v>
      </c>
      <c r="W1524" s="10">
        <v>1</v>
      </c>
      <c r="X1524" s="10" t="s">
        <v>3357</v>
      </c>
      <c r="Y1524" s="21" t="s">
        <v>3005</v>
      </c>
      <c r="Z1524" s="10"/>
      <c r="AA1524" s="10"/>
      <c r="AB1524" s="10"/>
      <c r="AC1524" s="12"/>
      <c r="AE1524" s="1"/>
      <c r="AF1524" s="2"/>
      <c r="AG1524" s="1"/>
      <c r="AH1524" s="1"/>
      <c r="AI1524" s="1"/>
      <c r="AJ1524" s="1"/>
      <c r="AK1524" s="1"/>
      <c r="AL1524" s="1"/>
      <c r="AM1524" s="1"/>
      <c r="AN1524" s="1"/>
      <c r="AO1524" s="1"/>
      <c r="AP1524" s="1"/>
      <c r="AQ1524" s="1"/>
      <c r="AR1524" s="1"/>
      <c r="AS1524" s="1"/>
      <c r="AT1524" s="1"/>
      <c r="AU1524" s="1"/>
      <c r="AV1524" s="1"/>
      <c r="AW1524" s="1"/>
      <c r="AX1524" s="1"/>
      <c r="AY1524" s="1"/>
      <c r="AZ1524" s="1"/>
      <c r="BA1524" s="1"/>
      <c r="BB1524" s="1"/>
      <c r="BC1524" s="1"/>
      <c r="BD1524" s="1"/>
      <c r="BE1524" s="1"/>
      <c r="BF1524" s="1"/>
      <c r="BG1524" s="1"/>
      <c r="BH1524" s="1"/>
      <c r="BI1524" s="1"/>
      <c r="BJ1524" s="1"/>
      <c r="BK1524" s="1"/>
      <c r="BL1524" s="1"/>
      <c r="BM1524" s="1"/>
      <c r="BN1524" s="1"/>
      <c r="BO1524" s="1"/>
      <c r="BP1524" s="1"/>
      <c r="BQ1524" s="1"/>
      <c r="BR1524" s="1"/>
      <c r="BS1524" s="1"/>
      <c r="BT1524" s="1"/>
      <c r="BU1524" s="1"/>
      <c r="BV1524" s="1"/>
      <c r="BW1524" s="1"/>
      <c r="BX1524" s="1"/>
      <c r="BY1524" s="1"/>
      <c r="BZ1524" s="1"/>
      <c r="CA1524" s="1"/>
      <c r="CB1524" s="1"/>
      <c r="CC1524" s="1"/>
      <c r="CD1524" s="1"/>
      <c r="CE1524" s="1"/>
      <c r="CF1524" s="1"/>
    </row>
    <row r="1525" spans="1:84" x14ac:dyDescent="0.2">
      <c r="A1525" s="17" t="s">
        <v>3921</v>
      </c>
      <c r="B1525" s="17" t="s">
        <v>45</v>
      </c>
      <c r="C1525" s="17">
        <v>2025</v>
      </c>
      <c r="D1525" s="17" t="str">
        <f t="array" ref="D1525">_xlfn.SWITCH(E1525,"Jatikalen","35.18.20","Kertosono", "35.18.08","Lengkong","35.18.19","Loceret","35.18.04","Tanjunganom","35.18.11","Wilangan","35.18.15")</f>
        <v>35.18.20</v>
      </c>
      <c r="E1525" s="10" t="s">
        <v>1083</v>
      </c>
      <c r="F1525" s="195" t="s">
        <v>3594</v>
      </c>
      <c r="G1525" s="195" t="s">
        <v>3595</v>
      </c>
      <c r="H1525" s="10" t="s">
        <v>31</v>
      </c>
      <c r="I1525" s="16">
        <v>1</v>
      </c>
      <c r="J1525" s="16">
        <v>0</v>
      </c>
      <c r="K1525" s="10">
        <v>1</v>
      </c>
      <c r="L1525" s="13">
        <v>3000000</v>
      </c>
      <c r="M1525" s="195" t="s">
        <v>1120</v>
      </c>
      <c r="N1525" s="14">
        <v>300</v>
      </c>
      <c r="O1525" s="10" t="s">
        <v>35</v>
      </c>
      <c r="P1525" s="14">
        <v>4000000</v>
      </c>
      <c r="Q1525" s="195" t="s">
        <v>173</v>
      </c>
      <c r="R1525" s="15">
        <v>300</v>
      </c>
      <c r="S1525" s="10" t="s">
        <v>35</v>
      </c>
      <c r="T1525" s="14">
        <v>3000000</v>
      </c>
      <c r="U1525" s="10"/>
      <c r="V1525" s="10" t="s">
        <v>57</v>
      </c>
      <c r="W1525" s="10"/>
      <c r="X1525" s="10"/>
      <c r="Y1525" s="21" t="s">
        <v>3005</v>
      </c>
      <c r="Z1525" s="10"/>
      <c r="AA1525" s="10"/>
      <c r="AB1525" s="10"/>
      <c r="AC1525" s="12"/>
    </row>
    <row r="1526" spans="1:84" x14ac:dyDescent="0.2">
      <c r="A1526" s="17" t="s">
        <v>3921</v>
      </c>
      <c r="B1526" s="17" t="s">
        <v>45</v>
      </c>
      <c r="C1526" s="17">
        <v>2025</v>
      </c>
      <c r="D1526" s="17" t="str">
        <f t="array" ref="D1526">_xlfn.SWITCH(E1526,"Bagor","35.18.14","Sukomoro",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26" s="10" t="s">
        <v>114</v>
      </c>
      <c r="F1526" s="195" t="s">
        <v>114</v>
      </c>
      <c r="G1526" s="195" t="s">
        <v>855</v>
      </c>
      <c r="H1526" s="10" t="s">
        <v>31</v>
      </c>
      <c r="I1526" s="16">
        <v>2</v>
      </c>
      <c r="J1526" s="16">
        <v>2</v>
      </c>
      <c r="K1526" s="10">
        <v>4</v>
      </c>
      <c r="L1526" s="13">
        <v>15550000</v>
      </c>
      <c r="M1526" s="195" t="s">
        <v>172</v>
      </c>
      <c r="N1526" s="14">
        <v>30</v>
      </c>
      <c r="O1526" s="10" t="s">
        <v>962</v>
      </c>
      <c r="P1526" s="14">
        <v>64000000</v>
      </c>
      <c r="Q1526" s="195" t="s">
        <v>173</v>
      </c>
      <c r="R1526" s="15">
        <v>12</v>
      </c>
      <c r="S1526" s="10" t="s">
        <v>962</v>
      </c>
      <c r="T1526" s="14">
        <v>25000000</v>
      </c>
      <c r="U1526" s="10"/>
      <c r="V1526" s="10"/>
      <c r="W1526" s="10"/>
      <c r="X1526" s="10"/>
      <c r="Y1526" s="21" t="s">
        <v>3005</v>
      </c>
      <c r="Z1526" s="10"/>
      <c r="AA1526" s="10"/>
      <c r="AB1526" s="10"/>
      <c r="AC1526" s="12"/>
    </row>
    <row r="1527" spans="1:84" x14ac:dyDescent="0.2">
      <c r="A1527" s="17" t="s">
        <v>3921</v>
      </c>
      <c r="B1527" s="17" t="s">
        <v>45</v>
      </c>
      <c r="C1527" s="17">
        <v>2025</v>
      </c>
      <c r="D1527" s="17" t="str">
        <f t="array" ref="D1527">_xlfn.SWITCH(E1527,"Bagor","35.18.14","Sukomoro",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27" s="10" t="s">
        <v>114</v>
      </c>
      <c r="F1527" s="195" t="s">
        <v>3596</v>
      </c>
      <c r="G1527" s="195" t="s">
        <v>856</v>
      </c>
      <c r="H1527" s="10" t="s">
        <v>31</v>
      </c>
      <c r="I1527" s="16">
        <v>2</v>
      </c>
      <c r="J1527" s="16">
        <v>2</v>
      </c>
      <c r="K1527" s="10">
        <v>4</v>
      </c>
      <c r="L1527" s="13">
        <v>15000000</v>
      </c>
      <c r="M1527" s="195" t="s">
        <v>172</v>
      </c>
      <c r="N1527" s="14">
        <v>31</v>
      </c>
      <c r="O1527" s="10" t="s">
        <v>962</v>
      </c>
      <c r="P1527" s="14">
        <v>64500000</v>
      </c>
      <c r="Q1527" s="195" t="s">
        <v>173</v>
      </c>
      <c r="R1527" s="15">
        <v>13</v>
      </c>
      <c r="S1527" s="10" t="s">
        <v>962</v>
      </c>
      <c r="T1527" s="14">
        <v>25000001</v>
      </c>
      <c r="U1527" s="10"/>
      <c r="V1527" s="10"/>
      <c r="W1527" s="10"/>
      <c r="X1527" s="10"/>
      <c r="Y1527" s="21" t="s">
        <v>3005</v>
      </c>
      <c r="Z1527" s="10"/>
      <c r="AA1527" s="10"/>
      <c r="AB1527" s="10"/>
      <c r="AC1527" s="12"/>
    </row>
    <row r="1528" spans="1:84" x14ac:dyDescent="0.2">
      <c r="A1528" s="17" t="s">
        <v>3921</v>
      </c>
      <c r="B1528" s="17" t="s">
        <v>45</v>
      </c>
      <c r="C1528" s="17">
        <v>2025</v>
      </c>
      <c r="D1528" s="17" t="str">
        <f t="array" ref="D1528">_xlfn.SWITCH(E1528,"Bagor","35.18.14","Sukomoro",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28" s="10" t="s">
        <v>114</v>
      </c>
      <c r="F1528" s="195" t="s">
        <v>3597</v>
      </c>
      <c r="G1528" s="17" t="s">
        <v>3598</v>
      </c>
      <c r="H1528" s="10" t="s">
        <v>31</v>
      </c>
      <c r="I1528" s="16">
        <v>1</v>
      </c>
      <c r="J1528" s="16">
        <v>2</v>
      </c>
      <c r="K1528" s="10">
        <v>3</v>
      </c>
      <c r="L1528" s="13">
        <v>60000000</v>
      </c>
      <c r="M1528" s="195" t="s">
        <v>172</v>
      </c>
      <c r="N1528" s="14">
        <v>3200</v>
      </c>
      <c r="O1528" s="10" t="s">
        <v>1130</v>
      </c>
      <c r="P1528" s="14">
        <v>4700000</v>
      </c>
      <c r="Q1528" s="195" t="s">
        <v>173</v>
      </c>
      <c r="R1528" s="15">
        <v>90</v>
      </c>
      <c r="S1528" s="10" t="s">
        <v>35</v>
      </c>
      <c r="T1528" s="14">
        <v>800000</v>
      </c>
      <c r="U1528" s="10"/>
      <c r="V1528" s="10" t="s">
        <v>57</v>
      </c>
      <c r="W1528" s="10">
        <v>30</v>
      </c>
      <c r="X1528" s="10" t="s">
        <v>35</v>
      </c>
      <c r="Y1528" s="21" t="s">
        <v>3005</v>
      </c>
      <c r="Z1528" s="10"/>
      <c r="AA1528" s="10"/>
      <c r="AB1528" s="10"/>
      <c r="AC1528" s="12"/>
    </row>
    <row r="1529" spans="1:84" x14ac:dyDescent="0.2">
      <c r="A1529" s="17" t="s">
        <v>3921</v>
      </c>
      <c r="B1529" s="17" t="s">
        <v>45</v>
      </c>
      <c r="C1529" s="17">
        <v>2025</v>
      </c>
      <c r="D1529" s="17" t="str">
        <f t="array" ref="D1529">_xlfn.SWITCH(E1529,"Bagor","35.18.14","Sukomoro",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29" s="10" t="s">
        <v>114</v>
      </c>
      <c r="F1529" s="195" t="s">
        <v>3599</v>
      </c>
      <c r="G1529" s="195" t="s">
        <v>3600</v>
      </c>
      <c r="H1529" s="10" t="s">
        <v>31</v>
      </c>
      <c r="I1529" s="16">
        <v>1</v>
      </c>
      <c r="J1529" s="16">
        <v>5</v>
      </c>
      <c r="K1529" s="10">
        <v>6</v>
      </c>
      <c r="L1529" s="13">
        <v>25000000</v>
      </c>
      <c r="M1529" s="195"/>
      <c r="N1529" s="14"/>
      <c r="O1529" s="10"/>
      <c r="P1529" s="14">
        <v>5000000</v>
      </c>
      <c r="Q1529" s="195" t="s">
        <v>173</v>
      </c>
      <c r="R1529" s="15">
        <v>1</v>
      </c>
      <c r="S1529" s="10" t="s">
        <v>83</v>
      </c>
      <c r="T1529" s="14">
        <v>3000000</v>
      </c>
      <c r="U1529" s="10"/>
      <c r="V1529" s="10" t="s">
        <v>57</v>
      </c>
      <c r="W1529" s="10">
        <v>31</v>
      </c>
      <c r="X1529" s="10"/>
      <c r="Y1529" s="21" t="s">
        <v>3005</v>
      </c>
      <c r="Z1529" s="10"/>
      <c r="AA1529" s="10"/>
      <c r="AB1529" s="10"/>
      <c r="AC1529" s="12"/>
    </row>
    <row r="1530" spans="1:84" x14ac:dyDescent="0.2">
      <c r="A1530" s="17" t="s">
        <v>3921</v>
      </c>
      <c r="B1530" s="17" t="s">
        <v>45</v>
      </c>
      <c r="C1530" s="17">
        <v>2025</v>
      </c>
      <c r="D1530" s="17" t="str">
        <f t="array" ref="D1530">_xlfn.SWITCH(E1530,"Bagor","35.18.14","Sukomoro",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30" s="10" t="s">
        <v>114</v>
      </c>
      <c r="F1530" s="195" t="s">
        <v>3601</v>
      </c>
      <c r="G1530" s="195" t="s">
        <v>3602</v>
      </c>
      <c r="H1530" s="10" t="s">
        <v>31</v>
      </c>
      <c r="I1530" s="16">
        <v>0</v>
      </c>
      <c r="J1530" s="16">
        <v>2</v>
      </c>
      <c r="K1530" s="10">
        <v>2</v>
      </c>
      <c r="L1530" s="13">
        <v>1000000</v>
      </c>
      <c r="M1530" s="195" t="s">
        <v>1478</v>
      </c>
      <c r="N1530" s="14">
        <v>70</v>
      </c>
      <c r="O1530" s="10" t="s">
        <v>35</v>
      </c>
      <c r="P1530" s="14">
        <v>3000000</v>
      </c>
      <c r="Q1530" s="195" t="s">
        <v>3603</v>
      </c>
      <c r="R1530" s="15">
        <v>150</v>
      </c>
      <c r="S1530" s="10" t="s">
        <v>35</v>
      </c>
      <c r="T1530" s="14">
        <v>1000000</v>
      </c>
      <c r="U1530" s="10"/>
      <c r="V1530" s="10"/>
      <c r="W1530" s="10"/>
      <c r="X1530" s="10"/>
      <c r="Y1530" s="10"/>
      <c r="Z1530" s="10"/>
      <c r="AA1530" s="10"/>
      <c r="AB1530" s="10"/>
      <c r="AC1530" s="12"/>
    </row>
    <row r="1531" spans="1:84" x14ac:dyDescent="0.2">
      <c r="A1531" s="17" t="s">
        <v>3921</v>
      </c>
      <c r="B1531" s="17" t="s">
        <v>45</v>
      </c>
      <c r="C1531" s="17">
        <v>2025</v>
      </c>
      <c r="D1531" s="17" t="str">
        <f t="array" ref="D1531">_xlfn.SWITCH(E1531,"Bagor","35.18.14","Sukomoro",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31" s="10" t="s">
        <v>114</v>
      </c>
      <c r="F1531" s="195" t="s">
        <v>3604</v>
      </c>
      <c r="G1531" s="195" t="s">
        <v>3605</v>
      </c>
      <c r="H1531" s="10" t="s">
        <v>31</v>
      </c>
      <c r="I1531" s="16">
        <v>2</v>
      </c>
      <c r="J1531" s="16">
        <v>2</v>
      </c>
      <c r="K1531" s="10">
        <v>4</v>
      </c>
      <c r="L1531" s="13"/>
      <c r="M1531" s="195" t="s">
        <v>2520</v>
      </c>
      <c r="N1531" s="14">
        <v>130</v>
      </c>
      <c r="O1531" s="10" t="s">
        <v>35</v>
      </c>
      <c r="P1531" s="14">
        <v>300000</v>
      </c>
      <c r="Q1531" s="195" t="s">
        <v>159</v>
      </c>
      <c r="R1531" s="15">
        <v>25</v>
      </c>
      <c r="S1531" s="10" t="s">
        <v>35</v>
      </c>
      <c r="T1531" s="14">
        <v>239000</v>
      </c>
      <c r="U1531" s="10"/>
      <c r="V1531" s="10" t="s">
        <v>57</v>
      </c>
      <c r="W1531" s="10">
        <v>50</v>
      </c>
      <c r="X1531" s="10"/>
      <c r="Y1531" s="21" t="s">
        <v>3005</v>
      </c>
      <c r="Z1531" s="10"/>
      <c r="AA1531" s="10"/>
      <c r="AB1531" s="10"/>
      <c r="AC1531" s="12"/>
    </row>
    <row r="1532" spans="1:84" s="247" customFormat="1" ht="10.5" x14ac:dyDescent="0.35">
      <c r="A1532" s="17" t="s">
        <v>3921</v>
      </c>
      <c r="B1532" s="17" t="s">
        <v>45</v>
      </c>
      <c r="C1532" s="17">
        <v>2025</v>
      </c>
      <c r="D1532" s="17" t="str">
        <f t="array" ref="D1532">_xlfn.SWITCH(E1532,"Bagor","35.18.14","Sukomoro",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32" s="240" t="s">
        <v>103</v>
      </c>
      <c r="F1532" s="239" t="s">
        <v>581</v>
      </c>
      <c r="G1532" s="139" t="s">
        <v>3606</v>
      </c>
      <c r="H1532" s="240" t="s">
        <v>47</v>
      </c>
      <c r="I1532" s="241" t="s">
        <v>3607</v>
      </c>
      <c r="J1532" s="241" t="s">
        <v>3608</v>
      </c>
      <c r="K1532" s="241" t="s">
        <v>3609</v>
      </c>
      <c r="L1532" s="13">
        <v>221100000</v>
      </c>
      <c r="M1532" s="239" t="s">
        <v>586</v>
      </c>
      <c r="N1532" s="242">
        <v>4500</v>
      </c>
      <c r="O1532" s="243" t="s">
        <v>33</v>
      </c>
      <c r="P1532" s="244">
        <v>135000000</v>
      </c>
      <c r="Q1532" s="239" t="s">
        <v>481</v>
      </c>
      <c r="R1532" s="245">
        <v>70</v>
      </c>
      <c r="S1532" s="240" t="s">
        <v>69</v>
      </c>
      <c r="T1532" s="244">
        <v>71250000</v>
      </c>
      <c r="U1532" s="240"/>
      <c r="V1532" s="240"/>
      <c r="W1532" s="240"/>
      <c r="X1532" s="240"/>
      <c r="Y1532" s="246" t="s">
        <v>3005</v>
      </c>
      <c r="Z1532" s="246" t="s">
        <v>3005</v>
      </c>
      <c r="AA1532" s="240"/>
      <c r="AB1532" s="240"/>
      <c r="AC1532" s="240"/>
      <c r="AD1532" s="32"/>
      <c r="AE1532" s="32"/>
      <c r="AF1532" s="210"/>
    </row>
    <row r="1533" spans="1:84" s="173" customFormat="1" ht="30" x14ac:dyDescent="0.35">
      <c r="A1533" s="17" t="s">
        <v>3921</v>
      </c>
      <c r="B1533" s="17" t="s">
        <v>45</v>
      </c>
      <c r="C1533" s="17">
        <v>2025</v>
      </c>
      <c r="D1533" s="17" t="str">
        <f t="array" ref="D1533">_xlfn.SWITCH(E1533,"Jatikalen","35.18.20","Kertosono", "35.18.08","Lengkong","35.18.19","Loceret","35.18.04","Tanjunganom","35.18.11","Wilangan","35.18.15")</f>
        <v>35.18.20</v>
      </c>
      <c r="E1533" s="10" t="s">
        <v>1083</v>
      </c>
      <c r="F1533" s="17" t="s">
        <v>3610</v>
      </c>
      <c r="G1533" s="224" t="s">
        <v>3611</v>
      </c>
      <c r="H1533" s="10" t="s">
        <v>991</v>
      </c>
      <c r="I1533" s="16">
        <v>77</v>
      </c>
      <c r="J1533" s="16">
        <v>9</v>
      </c>
      <c r="K1533" s="10">
        <v>86</v>
      </c>
      <c r="L1533" s="13">
        <v>360880190</v>
      </c>
      <c r="M1533" s="195" t="s">
        <v>3612</v>
      </c>
      <c r="N1533" s="13">
        <v>63156</v>
      </c>
      <c r="O1533" s="10" t="s">
        <v>3613</v>
      </c>
      <c r="P1533" s="248">
        <v>324437400</v>
      </c>
      <c r="Q1533" s="195" t="s">
        <v>3614</v>
      </c>
      <c r="R1533" s="249">
        <v>1749</v>
      </c>
      <c r="S1533" s="10" t="s">
        <v>445</v>
      </c>
      <c r="T1533" s="248">
        <v>57211322</v>
      </c>
      <c r="U1533" s="10"/>
      <c r="V1533" s="10"/>
      <c r="W1533" s="10"/>
      <c r="X1533" s="10"/>
      <c r="Y1533" s="21" t="s">
        <v>3005</v>
      </c>
      <c r="Z1533" s="21" t="s">
        <v>3005</v>
      </c>
      <c r="AA1533" s="21" t="s">
        <v>3005</v>
      </c>
      <c r="AB1533" s="10"/>
      <c r="AC1533" s="10" t="s">
        <v>3615</v>
      </c>
      <c r="AD1533" s="32"/>
      <c r="AF1533" s="174"/>
    </row>
    <row r="1534" spans="1:84" ht="40" x14ac:dyDescent="0.2">
      <c r="A1534" s="17" t="s">
        <v>3921</v>
      </c>
      <c r="B1534" s="17" t="s">
        <v>45</v>
      </c>
      <c r="C1534" s="17">
        <v>2025</v>
      </c>
      <c r="D1534" s="17" t="str">
        <f t="array" ref="D1534">_xlfn.SWITCH(E1534,"Jatikalen","35.18.20","Kertosono", "35.18.08","Lengkong","35.18.19","Loceret","35.18.04","Tanjunganom","35.18.11","Wilangan","35.18.15")</f>
        <v>35.18.11</v>
      </c>
      <c r="E1534" s="10" t="s">
        <v>60</v>
      </c>
      <c r="F1534" s="17" t="s">
        <v>3616</v>
      </c>
      <c r="G1534" s="224" t="s">
        <v>3617</v>
      </c>
      <c r="H1534" s="10" t="s">
        <v>991</v>
      </c>
      <c r="I1534" s="16">
        <v>10</v>
      </c>
      <c r="J1534" s="16">
        <v>25</v>
      </c>
      <c r="K1534" s="10">
        <v>35</v>
      </c>
      <c r="L1534" s="13">
        <v>1400000000</v>
      </c>
      <c r="M1534" s="195" t="s">
        <v>3618</v>
      </c>
      <c r="N1534" s="13">
        <v>5000000</v>
      </c>
      <c r="O1534" s="10" t="s">
        <v>1538</v>
      </c>
      <c r="P1534" s="248">
        <f>N1534*250</f>
        <v>1250000000</v>
      </c>
      <c r="Q1534" s="195" t="s">
        <v>34</v>
      </c>
      <c r="R1534" s="250">
        <v>3000</v>
      </c>
      <c r="S1534" s="10" t="s">
        <v>35</v>
      </c>
      <c r="T1534" s="248">
        <v>150000000</v>
      </c>
      <c r="U1534" s="10"/>
      <c r="V1534" s="10"/>
      <c r="W1534" s="10"/>
      <c r="X1534" s="10"/>
      <c r="Y1534" s="21" t="s">
        <v>3005</v>
      </c>
      <c r="Z1534" s="10"/>
      <c r="AA1534" s="10"/>
      <c r="AB1534" s="10"/>
      <c r="AC1534" s="10" t="s">
        <v>3619</v>
      </c>
    </row>
    <row r="1535" spans="1:84" ht="30" x14ac:dyDescent="0.2">
      <c r="A1535" s="17" t="s">
        <v>3921</v>
      </c>
      <c r="B1535" s="17" t="s">
        <v>45</v>
      </c>
      <c r="C1535" s="17">
        <v>2025</v>
      </c>
      <c r="D1535" s="17" t="str">
        <f t="array" ref="D1535">_xlfn.SWITCH(E1535,"Bagor","35.18.14","Sukomoro",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35" s="10" t="s">
        <v>103</v>
      </c>
      <c r="F1535" s="17" t="s">
        <v>3620</v>
      </c>
      <c r="G1535" s="224" t="s">
        <v>3621</v>
      </c>
      <c r="H1535" s="10" t="s">
        <v>991</v>
      </c>
      <c r="I1535" s="16">
        <v>15</v>
      </c>
      <c r="J1535" s="16">
        <v>20</v>
      </c>
      <c r="K1535" s="10">
        <v>35</v>
      </c>
      <c r="L1535" s="13">
        <v>40000000</v>
      </c>
      <c r="M1535" s="17" t="s">
        <v>3622</v>
      </c>
      <c r="N1535" s="13">
        <v>100</v>
      </c>
      <c r="O1535" s="10" t="s">
        <v>83</v>
      </c>
      <c r="P1535" s="248">
        <f>825000*N1535</f>
        <v>82500000</v>
      </c>
      <c r="Q1535" s="195" t="s">
        <v>3623</v>
      </c>
      <c r="R1535" s="250">
        <v>3000</v>
      </c>
      <c r="S1535" s="10" t="s">
        <v>35</v>
      </c>
      <c r="T1535" s="248">
        <v>150000000</v>
      </c>
      <c r="U1535" s="10"/>
      <c r="V1535" s="10"/>
      <c r="W1535" s="10"/>
      <c r="X1535" s="10"/>
      <c r="Y1535" s="21" t="s">
        <v>3005</v>
      </c>
      <c r="Z1535" s="10"/>
      <c r="AA1535" s="10"/>
      <c r="AB1535" s="10"/>
      <c r="AC1535" s="10" t="s">
        <v>3624</v>
      </c>
    </row>
    <row r="1536" spans="1:84" ht="40" x14ac:dyDescent="0.2">
      <c r="A1536" s="17" t="s">
        <v>3921</v>
      </c>
      <c r="B1536" s="17" t="s">
        <v>45</v>
      </c>
      <c r="C1536" s="17">
        <v>2025</v>
      </c>
      <c r="D1536" s="17" t="str">
        <f t="array" ref="D1536">_xlfn.SWITCH(E1536,"Bagor","35.18.14","Sukomoro",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36" s="226" t="s">
        <v>162</v>
      </c>
      <c r="F1536" s="17" t="s">
        <v>3625</v>
      </c>
      <c r="G1536" s="224" t="s">
        <v>3626</v>
      </c>
      <c r="H1536" s="10" t="s">
        <v>991</v>
      </c>
      <c r="I1536" s="16">
        <v>2</v>
      </c>
      <c r="J1536" s="16">
        <v>2</v>
      </c>
      <c r="K1536" s="10">
        <v>4</v>
      </c>
      <c r="L1536" s="13">
        <v>46500000</v>
      </c>
      <c r="M1536" s="17" t="s">
        <v>3627</v>
      </c>
      <c r="N1536" s="13">
        <v>3000</v>
      </c>
      <c r="O1536" s="10" t="s">
        <v>1049</v>
      </c>
      <c r="P1536" s="248">
        <f>120000*N1536</f>
        <v>360000000</v>
      </c>
      <c r="Q1536" s="195" t="s">
        <v>1707</v>
      </c>
      <c r="R1536" s="250">
        <v>2100</v>
      </c>
      <c r="S1536" s="10" t="s">
        <v>35</v>
      </c>
      <c r="T1536" s="248">
        <f>95000*R1536</f>
        <v>199500000</v>
      </c>
      <c r="U1536" s="10"/>
      <c r="V1536" s="10"/>
      <c r="W1536" s="10"/>
      <c r="X1536" s="10"/>
      <c r="Y1536" s="21" t="s">
        <v>3005</v>
      </c>
      <c r="Z1536" s="10"/>
      <c r="AA1536" s="10"/>
      <c r="AB1536" s="10"/>
      <c r="AC1536" s="10" t="s">
        <v>3628</v>
      </c>
    </row>
    <row r="1537" spans="1:84" ht="30" x14ac:dyDescent="0.2">
      <c r="A1537" s="17" t="s">
        <v>3921</v>
      </c>
      <c r="B1537" s="17" t="s">
        <v>45</v>
      </c>
      <c r="C1537" s="17">
        <v>2025</v>
      </c>
      <c r="D1537" s="17" t="str">
        <f t="array" ref="D1537">_xlfn.SWITCH(E1537,"Bagor","35.18.14","Sukomoro",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537" s="10" t="s">
        <v>140</v>
      </c>
      <c r="F1537" s="17" t="s">
        <v>3629</v>
      </c>
      <c r="G1537" s="224" t="s">
        <v>3630</v>
      </c>
      <c r="H1537" s="10" t="s">
        <v>31</v>
      </c>
      <c r="I1537" s="16">
        <v>1</v>
      </c>
      <c r="J1537" s="16">
        <v>5</v>
      </c>
      <c r="K1537" s="10">
        <v>6</v>
      </c>
      <c r="L1537" s="13">
        <v>30000000</v>
      </c>
      <c r="M1537" s="17" t="s">
        <v>1367</v>
      </c>
      <c r="N1537" s="13">
        <v>240</v>
      </c>
      <c r="O1537" s="10" t="s">
        <v>1116</v>
      </c>
      <c r="P1537" s="248">
        <f>200000*N1537</f>
        <v>48000000</v>
      </c>
      <c r="Q1537" s="195" t="s">
        <v>1468</v>
      </c>
      <c r="R1537" s="250">
        <f>2.5*240</f>
        <v>600</v>
      </c>
      <c r="S1537" s="10" t="s">
        <v>1672</v>
      </c>
      <c r="T1537" s="248">
        <f>25000*R1537</f>
        <v>15000000</v>
      </c>
      <c r="U1537" s="10"/>
      <c r="V1537" s="10"/>
      <c r="W1537" s="10"/>
      <c r="X1537" s="10"/>
      <c r="Y1537" s="21" t="s">
        <v>3005</v>
      </c>
      <c r="Z1537" s="10"/>
      <c r="AA1537" s="10"/>
      <c r="AB1537" s="10"/>
      <c r="AC1537" s="10" t="s">
        <v>3631</v>
      </c>
    </row>
    <row r="1538" spans="1:84" ht="40" x14ac:dyDescent="0.2">
      <c r="A1538" s="17" t="s">
        <v>3921</v>
      </c>
      <c r="B1538" s="17" t="s">
        <v>45</v>
      </c>
      <c r="C1538" s="17">
        <v>2025</v>
      </c>
      <c r="D1538" s="17" t="str">
        <f t="array" ref="D1538">_xlfn.SWITCH(E1538,"Jatikalen","35.18.20","Kertosono", "35.18.08","Lengkong","35.18.19","Loceret","35.18.04","Tanjunganom","35.18.11","Wilangan","35.18.15")</f>
        <v>35.18.11</v>
      </c>
      <c r="E1538" s="10" t="s">
        <v>60</v>
      </c>
      <c r="F1538" s="17" t="s">
        <v>3632</v>
      </c>
      <c r="G1538" s="17" t="s">
        <v>3633</v>
      </c>
      <c r="H1538" s="10" t="s">
        <v>991</v>
      </c>
      <c r="I1538" s="16">
        <v>8</v>
      </c>
      <c r="J1538" s="16">
        <f>25-8</f>
        <v>17</v>
      </c>
      <c r="K1538" s="10">
        <v>25</v>
      </c>
      <c r="L1538" s="13">
        <v>600000000</v>
      </c>
      <c r="M1538" s="17" t="s">
        <v>3634</v>
      </c>
      <c r="N1538" s="13">
        <v>50000</v>
      </c>
      <c r="O1538" s="10" t="s">
        <v>33</v>
      </c>
      <c r="P1538" s="248">
        <f>N1538*27000</f>
        <v>1350000000</v>
      </c>
      <c r="Q1538" s="195" t="s">
        <v>3635</v>
      </c>
      <c r="R1538" s="250">
        <v>2100</v>
      </c>
      <c r="S1538" s="10" t="s">
        <v>83</v>
      </c>
      <c r="T1538" s="248">
        <f>R1538*150000</f>
        <v>315000000</v>
      </c>
      <c r="U1538" s="20" t="s">
        <v>22</v>
      </c>
      <c r="V1538" s="10"/>
      <c r="W1538" s="10"/>
      <c r="X1538" s="10"/>
      <c r="Y1538" s="21" t="s">
        <v>3005</v>
      </c>
      <c r="Z1538" s="10"/>
      <c r="AA1538" s="10"/>
      <c r="AB1538" s="10"/>
      <c r="AC1538" s="10" t="s">
        <v>3636</v>
      </c>
      <c r="AD1538" s="2"/>
      <c r="AF1538" s="1"/>
    </row>
    <row r="1539" spans="1:84" ht="20" x14ac:dyDescent="0.2">
      <c r="A1539" s="17" t="s">
        <v>3921</v>
      </c>
      <c r="B1539" s="17" t="s">
        <v>45</v>
      </c>
      <c r="C1539" s="17">
        <v>2025</v>
      </c>
      <c r="D1539" s="17" t="str">
        <f t="array" ref="D1539">_xlfn.SWITCH(E1539,"Bagor","35.18.14","Sukomoro",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539" s="10" t="s">
        <v>140</v>
      </c>
      <c r="F1539" s="17" t="s">
        <v>3637</v>
      </c>
      <c r="G1539" s="17" t="s">
        <v>3638</v>
      </c>
      <c r="H1539" s="10" t="s">
        <v>31</v>
      </c>
      <c r="I1539" s="16">
        <v>1</v>
      </c>
      <c r="J1539" s="16">
        <v>3</v>
      </c>
      <c r="K1539" s="10">
        <v>4</v>
      </c>
      <c r="L1539" s="13">
        <v>5000000</v>
      </c>
      <c r="M1539" s="17" t="s">
        <v>2504</v>
      </c>
      <c r="N1539" s="13">
        <v>170</v>
      </c>
      <c r="O1539" s="10" t="s">
        <v>35</v>
      </c>
      <c r="P1539" s="248">
        <v>11600000</v>
      </c>
      <c r="Q1539" s="195" t="s">
        <v>3639</v>
      </c>
      <c r="R1539" s="250">
        <v>65</v>
      </c>
      <c r="S1539" s="10" t="s">
        <v>35</v>
      </c>
      <c r="T1539" s="248">
        <v>2880000</v>
      </c>
      <c r="U1539" s="20" t="s">
        <v>22</v>
      </c>
      <c r="V1539" s="10" t="s">
        <v>3640</v>
      </c>
      <c r="W1539" s="10">
        <v>15</v>
      </c>
      <c r="X1539" s="10" t="s">
        <v>3014</v>
      </c>
      <c r="Y1539" s="21" t="s">
        <v>3005</v>
      </c>
      <c r="Z1539" s="10"/>
      <c r="AA1539" s="10"/>
      <c r="AB1539" s="10"/>
      <c r="AC1539" s="10"/>
      <c r="AD1539" s="2"/>
      <c r="AF1539" s="1"/>
    </row>
    <row r="1540" spans="1:84" ht="20" x14ac:dyDescent="0.2">
      <c r="A1540" s="17" t="s">
        <v>3921</v>
      </c>
      <c r="B1540" s="17" t="s">
        <v>45</v>
      </c>
      <c r="C1540" s="17">
        <v>2025</v>
      </c>
      <c r="D1540" s="17" t="str">
        <f t="array" ref="D1540">_xlfn.SWITCH(E1540,"Jatikalen","35.18.20","Kertosono", "35.18.08","Lengkong","35.18.19","Loceret","35.18.04","Tanjunganom","35.18.11","Wilangan","35.18.15")</f>
        <v>35.18.15</v>
      </c>
      <c r="E1540" s="10" t="s">
        <v>1158</v>
      </c>
      <c r="F1540" s="17" t="s">
        <v>3641</v>
      </c>
      <c r="G1540" s="17" t="s">
        <v>3642</v>
      </c>
      <c r="H1540" s="10" t="s">
        <v>31</v>
      </c>
      <c r="I1540" s="16">
        <v>0</v>
      </c>
      <c r="J1540" s="16">
        <v>3</v>
      </c>
      <c r="K1540" s="10">
        <v>3</v>
      </c>
      <c r="L1540" s="13">
        <v>500000</v>
      </c>
      <c r="M1540" s="17" t="s">
        <v>3131</v>
      </c>
      <c r="N1540" s="13">
        <v>30</v>
      </c>
      <c r="O1540" s="10" t="s">
        <v>35</v>
      </c>
      <c r="P1540" s="248">
        <v>7500000</v>
      </c>
      <c r="Q1540" s="195" t="s">
        <v>1553</v>
      </c>
      <c r="R1540" s="250">
        <v>200</v>
      </c>
      <c r="S1540" s="10" t="s">
        <v>35</v>
      </c>
      <c r="T1540" s="248">
        <v>5000000</v>
      </c>
      <c r="U1540" s="20" t="s">
        <v>22</v>
      </c>
      <c r="V1540" s="10"/>
      <c r="W1540" s="10"/>
      <c r="X1540" s="10"/>
      <c r="Y1540" s="21" t="s">
        <v>3005</v>
      </c>
      <c r="Z1540" s="10"/>
      <c r="AA1540" s="10"/>
      <c r="AB1540" s="10"/>
      <c r="AC1540" s="10"/>
      <c r="AD1540" s="2"/>
      <c r="AF1540" s="1"/>
    </row>
    <row r="1541" spans="1:84" ht="20" x14ac:dyDescent="0.2">
      <c r="A1541" s="17" t="s">
        <v>3921</v>
      </c>
      <c r="B1541" s="17" t="s">
        <v>45</v>
      </c>
      <c r="C1541" s="17">
        <v>2025</v>
      </c>
      <c r="D1541" s="17" t="str">
        <f t="array" ref="D1541">_xlfn.SWITCH(E1541,"Bagor","35.18.14","Sukomoro",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41" s="10" t="s">
        <v>45</v>
      </c>
      <c r="F1541" s="17" t="s">
        <v>3643</v>
      </c>
      <c r="G1541" s="17" t="s">
        <v>3644</v>
      </c>
      <c r="H1541" s="10" t="s">
        <v>31</v>
      </c>
      <c r="I1541" s="16">
        <v>0</v>
      </c>
      <c r="J1541" s="16">
        <v>1</v>
      </c>
      <c r="K1541" s="10">
        <v>1</v>
      </c>
      <c r="L1541" s="13">
        <v>5000000</v>
      </c>
      <c r="M1541" s="17" t="s">
        <v>3400</v>
      </c>
      <c r="N1541" s="13">
        <v>150</v>
      </c>
      <c r="O1541" s="10" t="s">
        <v>3645</v>
      </c>
      <c r="P1541" s="248">
        <v>8500000</v>
      </c>
      <c r="Q1541" s="195" t="s">
        <v>3646</v>
      </c>
      <c r="R1541" s="250">
        <v>100</v>
      </c>
      <c r="S1541" s="10" t="s">
        <v>35</v>
      </c>
      <c r="T1541" s="248">
        <v>3500000</v>
      </c>
      <c r="U1541" s="20" t="s">
        <v>22</v>
      </c>
      <c r="V1541" s="10"/>
      <c r="W1541" s="10"/>
      <c r="X1541" s="10"/>
      <c r="Y1541" s="21" t="s">
        <v>3005</v>
      </c>
      <c r="Z1541" s="10"/>
      <c r="AA1541" s="10"/>
      <c r="AB1541" s="10"/>
      <c r="AC1541" s="10"/>
      <c r="AD1541" s="2"/>
      <c r="AF1541" s="1"/>
    </row>
    <row r="1542" spans="1:84" ht="40" x14ac:dyDescent="0.2">
      <c r="A1542" s="17" t="s">
        <v>3921</v>
      </c>
      <c r="B1542" s="17" t="s">
        <v>45</v>
      </c>
      <c r="C1542" s="17">
        <v>2025</v>
      </c>
      <c r="D1542" s="17" t="str">
        <f t="array" ref="D1542">_xlfn.SWITCH(E1542,"Jatikalen","35.18.20","Kertosono", "35.18.08","Lengkong","35.18.19","Loceret","35.18.04","Tanjunganom","35.18.11","Wilangan","35.18.15")</f>
        <v>35.18.08</v>
      </c>
      <c r="E1542" s="10" t="s">
        <v>128</v>
      </c>
      <c r="F1542" s="17" t="s">
        <v>3647</v>
      </c>
      <c r="G1542" s="17" t="s">
        <v>3648</v>
      </c>
      <c r="H1542" s="10" t="s">
        <v>81</v>
      </c>
      <c r="I1542" s="16">
        <v>3</v>
      </c>
      <c r="J1542" s="16">
        <v>3</v>
      </c>
      <c r="K1542" s="10">
        <v>6</v>
      </c>
      <c r="L1542" s="13">
        <v>75000000</v>
      </c>
      <c r="M1542" s="17" t="s">
        <v>3649</v>
      </c>
      <c r="N1542" s="13">
        <v>1000</v>
      </c>
      <c r="O1542" s="10" t="s">
        <v>1459</v>
      </c>
      <c r="P1542" s="248">
        <v>50000000</v>
      </c>
      <c r="Q1542" s="195" t="s">
        <v>1468</v>
      </c>
      <c r="R1542" s="250">
        <v>10</v>
      </c>
      <c r="S1542" s="10" t="s">
        <v>2691</v>
      </c>
      <c r="T1542" s="248">
        <v>25000000</v>
      </c>
      <c r="U1542" s="20" t="s">
        <v>22</v>
      </c>
      <c r="V1542" s="10"/>
      <c r="W1542" s="10"/>
      <c r="X1542" s="10"/>
      <c r="Y1542" s="21" t="s">
        <v>3005</v>
      </c>
      <c r="Z1542" s="10"/>
      <c r="AA1542" s="10"/>
      <c r="AB1542" s="10"/>
      <c r="AC1542" s="10" t="s">
        <v>3650</v>
      </c>
      <c r="AD1542" s="2"/>
      <c r="AF1542" s="1"/>
    </row>
    <row r="1543" spans="1:84" ht="30" x14ac:dyDescent="0.2">
      <c r="A1543" s="17" t="s">
        <v>3921</v>
      </c>
      <c r="B1543" s="17" t="s">
        <v>45</v>
      </c>
      <c r="C1543" s="17">
        <v>2025</v>
      </c>
      <c r="D1543" s="17" t="str">
        <f t="array" ref="D1543">_xlfn.SWITCH(E1543,"Jatikalen","35.18.20","Kertosono", "35.18.08","Lengkong","35.18.19","Loceret","35.18.04","Tanjunganom","35.18.11","Wilangan","35.18.15")</f>
        <v>35.18.04</v>
      </c>
      <c r="E1543" s="10" t="s">
        <v>41</v>
      </c>
      <c r="F1543" s="17" t="s">
        <v>3651</v>
      </c>
      <c r="G1543" s="17" t="s">
        <v>3652</v>
      </c>
      <c r="H1543" s="10" t="s">
        <v>31</v>
      </c>
      <c r="I1543" s="16">
        <v>0</v>
      </c>
      <c r="J1543" s="16">
        <v>1</v>
      </c>
      <c r="K1543" s="10">
        <v>1</v>
      </c>
      <c r="L1543" s="13">
        <v>3000000</v>
      </c>
      <c r="M1543" s="17" t="s">
        <v>1767</v>
      </c>
      <c r="N1543" s="13">
        <v>400</v>
      </c>
      <c r="O1543" s="10" t="s">
        <v>3033</v>
      </c>
      <c r="P1543" s="248">
        <v>16000000</v>
      </c>
      <c r="Q1543" s="195" t="s">
        <v>3653</v>
      </c>
      <c r="R1543" s="250">
        <v>100</v>
      </c>
      <c r="S1543" s="10" t="s">
        <v>422</v>
      </c>
      <c r="T1543" s="248">
        <f>92000*100</f>
        <v>9200000</v>
      </c>
      <c r="U1543" s="20" t="s">
        <v>22</v>
      </c>
      <c r="V1543" s="10"/>
      <c r="W1543" s="10"/>
      <c r="X1543" s="10"/>
      <c r="Y1543" s="21" t="s">
        <v>3005</v>
      </c>
      <c r="Z1543" s="21" t="s">
        <v>3005</v>
      </c>
      <c r="AA1543" s="10"/>
      <c r="AB1543" s="10"/>
      <c r="AC1543" s="10"/>
      <c r="AD1543" s="2"/>
      <c r="AF1543" s="1"/>
    </row>
    <row r="1544" spans="1:84" ht="20" x14ac:dyDescent="0.2">
      <c r="A1544" s="17" t="s">
        <v>3921</v>
      </c>
      <c r="B1544" s="17" t="s">
        <v>45</v>
      </c>
      <c r="C1544" s="17">
        <v>2025</v>
      </c>
      <c r="D1544" s="17" t="str">
        <f t="array" ref="D1544">_xlfn.SWITCH(E1544,"Bagor","35.18.14","Sukomoro",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44" s="10" t="s">
        <v>45</v>
      </c>
      <c r="F1544" s="17" t="s">
        <v>3654</v>
      </c>
      <c r="G1544" s="17" t="s">
        <v>3655</v>
      </c>
      <c r="H1544" s="10" t="s">
        <v>31</v>
      </c>
      <c r="I1544" s="16">
        <v>0</v>
      </c>
      <c r="J1544" s="16">
        <v>1</v>
      </c>
      <c r="K1544" s="10">
        <v>1</v>
      </c>
      <c r="L1544" s="13">
        <v>2500000</v>
      </c>
      <c r="M1544" s="17" t="s">
        <v>3656</v>
      </c>
      <c r="N1544" s="13">
        <v>250</v>
      </c>
      <c r="O1544" s="10" t="s">
        <v>422</v>
      </c>
      <c r="P1544" s="248">
        <f>18000*N1544</f>
        <v>4500000</v>
      </c>
      <c r="Q1544" s="195" t="s">
        <v>3657</v>
      </c>
      <c r="R1544" s="250">
        <v>72</v>
      </c>
      <c r="S1544" s="10" t="s">
        <v>3658</v>
      </c>
      <c r="T1544" s="248">
        <f>40000*R1544</f>
        <v>2880000</v>
      </c>
      <c r="U1544" s="20" t="s">
        <v>22</v>
      </c>
      <c r="V1544" s="10"/>
      <c r="W1544" s="10"/>
      <c r="X1544" s="10"/>
      <c r="Y1544" s="21" t="s">
        <v>3005</v>
      </c>
      <c r="Z1544" s="10"/>
      <c r="AA1544" s="10"/>
      <c r="AB1544" s="10"/>
      <c r="AC1544" s="10"/>
      <c r="AD1544" s="2"/>
      <c r="AF1544" s="1"/>
    </row>
    <row r="1545" spans="1:84" s="224" customFormat="1" ht="30" x14ac:dyDescent="0.35">
      <c r="A1545" s="17" t="s">
        <v>3921</v>
      </c>
      <c r="B1545" s="17" t="s">
        <v>45</v>
      </c>
      <c r="C1545" s="17">
        <v>2025</v>
      </c>
      <c r="D1545" s="17" t="str">
        <f t="array" ref="D1545">_xlfn.SWITCH(E1545,"Jatikalen","35.18.20","Kertosono", "35.18.08","Lengkong","35.18.19","Loceret","35.18.04","Tanjunganom","35.18.11","Wilangan","35.18.15")</f>
        <v>35.18.04</v>
      </c>
      <c r="E1545" s="10" t="s">
        <v>41</v>
      </c>
      <c r="F1545" s="17" t="s">
        <v>3659</v>
      </c>
      <c r="G1545" s="17" t="s">
        <v>3660</v>
      </c>
      <c r="H1545" s="10" t="s">
        <v>81</v>
      </c>
      <c r="I1545" s="16">
        <v>2</v>
      </c>
      <c r="J1545" s="16">
        <v>3</v>
      </c>
      <c r="K1545" s="10">
        <v>5</v>
      </c>
      <c r="L1545" s="13">
        <v>700000000</v>
      </c>
      <c r="M1545" s="17" t="s">
        <v>3661</v>
      </c>
      <c r="N1545" s="251">
        <v>2400000</v>
      </c>
      <c r="O1545" s="10" t="s">
        <v>33</v>
      </c>
      <c r="P1545" s="252">
        <v>107200000</v>
      </c>
      <c r="Q1545" s="195"/>
      <c r="R1545" s="250"/>
      <c r="S1545" s="10"/>
      <c r="T1545" s="248"/>
      <c r="U1545" s="10"/>
      <c r="V1545" s="10"/>
      <c r="W1545" s="10"/>
      <c r="X1545" s="10"/>
      <c r="Y1545" s="246" t="s">
        <v>3005</v>
      </c>
      <c r="Z1545" s="10"/>
      <c r="AA1545" s="10"/>
      <c r="AB1545" s="10"/>
      <c r="AC1545" s="253" t="s">
        <v>3662</v>
      </c>
      <c r="AD1545" s="10"/>
      <c r="AE1545" s="254"/>
      <c r="AF1545" s="174"/>
      <c r="AG1545" s="173"/>
      <c r="AH1545" s="173"/>
      <c r="AI1545" s="173"/>
      <c r="AJ1545" s="173"/>
      <c r="AK1545" s="173"/>
      <c r="AL1545" s="173"/>
      <c r="AM1545" s="173"/>
      <c r="AN1545" s="173"/>
      <c r="AO1545" s="173"/>
      <c r="AP1545" s="173"/>
      <c r="AQ1545" s="173"/>
      <c r="AR1545" s="173"/>
      <c r="AS1545" s="173"/>
      <c r="AT1545" s="173"/>
      <c r="AU1545" s="173"/>
      <c r="AV1545" s="173"/>
      <c r="AW1545" s="173"/>
      <c r="AX1545" s="173"/>
      <c r="AY1545" s="173"/>
      <c r="AZ1545" s="173"/>
      <c r="BA1545" s="173"/>
      <c r="BB1545" s="173"/>
      <c r="BC1545" s="173"/>
      <c r="BD1545" s="173"/>
      <c r="BE1545" s="173"/>
      <c r="BF1545" s="173"/>
      <c r="BG1545" s="173"/>
      <c r="BH1545" s="173"/>
      <c r="BI1545" s="173"/>
      <c r="BJ1545" s="173"/>
      <c r="BK1545" s="173"/>
      <c r="BL1545" s="173"/>
      <c r="BM1545" s="173"/>
      <c r="BN1545" s="173"/>
      <c r="BO1545" s="173"/>
      <c r="BP1545" s="173"/>
      <c r="BQ1545" s="173"/>
      <c r="BR1545" s="173"/>
      <c r="BS1545" s="173"/>
      <c r="BT1545" s="173"/>
      <c r="BU1545" s="173"/>
      <c r="BV1545" s="173"/>
      <c r="BW1545" s="173"/>
      <c r="BX1545" s="173"/>
      <c r="BY1545" s="173"/>
      <c r="BZ1545" s="173"/>
      <c r="CA1545" s="173"/>
      <c r="CB1545" s="173"/>
      <c r="CC1545" s="173"/>
      <c r="CD1545" s="173"/>
      <c r="CE1545" s="173"/>
      <c r="CF1545" s="173"/>
    </row>
    <row r="1546" spans="1:84" s="224" customFormat="1" ht="40" x14ac:dyDescent="0.35">
      <c r="A1546" s="17" t="s">
        <v>3921</v>
      </c>
      <c r="B1546" s="17" t="s">
        <v>45</v>
      </c>
      <c r="C1546" s="17">
        <v>2025</v>
      </c>
      <c r="D1546" s="17" t="str">
        <f t="array" ref="D1546">_xlfn.SWITCH(E1546,"Bagor","35.18.14","Sukomoro",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46" s="10" t="s">
        <v>29</v>
      </c>
      <c r="F1546" s="17" t="s">
        <v>3663</v>
      </c>
      <c r="G1546" s="195" t="s">
        <v>3664</v>
      </c>
      <c r="H1546" s="10" t="s">
        <v>2917</v>
      </c>
      <c r="I1546" s="16">
        <v>8</v>
      </c>
      <c r="J1546" s="16">
        <v>47</v>
      </c>
      <c r="K1546" s="10">
        <v>55</v>
      </c>
      <c r="L1546" s="13">
        <v>910000000</v>
      </c>
      <c r="M1546" s="17" t="s">
        <v>3665</v>
      </c>
      <c r="N1546" s="13">
        <v>6000000</v>
      </c>
      <c r="O1546" s="10" t="s">
        <v>33</v>
      </c>
      <c r="P1546" s="248">
        <v>300000000</v>
      </c>
      <c r="Q1546" s="195" t="s">
        <v>3242</v>
      </c>
      <c r="R1546" s="250">
        <v>9000</v>
      </c>
      <c r="S1546" s="255" t="s">
        <v>35</v>
      </c>
      <c r="T1546" s="248">
        <v>450000000</v>
      </c>
      <c r="U1546" s="10"/>
      <c r="V1546" s="10" t="s">
        <v>3475</v>
      </c>
      <c r="W1546" s="10"/>
      <c r="X1546" s="10"/>
      <c r="Y1546" s="246" t="s">
        <v>3005</v>
      </c>
      <c r="Z1546" s="10"/>
      <c r="AA1546" s="10"/>
      <c r="AB1546" s="10"/>
      <c r="AC1546" s="253" t="s">
        <v>3666</v>
      </c>
      <c r="AD1546" s="10"/>
      <c r="AE1546" s="254"/>
      <c r="AF1546" s="174"/>
      <c r="AG1546" s="173"/>
      <c r="AH1546" s="173"/>
      <c r="AI1546" s="173"/>
      <c r="AJ1546" s="173"/>
      <c r="AK1546" s="173"/>
      <c r="AL1546" s="173"/>
      <c r="AM1546" s="173"/>
      <c r="AN1546" s="173"/>
      <c r="AO1546" s="173"/>
      <c r="AP1546" s="173"/>
      <c r="AQ1546" s="173"/>
      <c r="AR1546" s="173"/>
      <c r="AS1546" s="173"/>
      <c r="AT1546" s="173"/>
      <c r="AU1546" s="173"/>
      <c r="AV1546" s="173"/>
      <c r="AW1546" s="173"/>
      <c r="AX1546" s="173"/>
      <c r="AY1546" s="173"/>
      <c r="AZ1546" s="173"/>
      <c r="BA1546" s="173"/>
      <c r="BB1546" s="173"/>
      <c r="BC1546" s="173"/>
      <c r="BD1546" s="173"/>
      <c r="BE1546" s="173"/>
      <c r="BF1546" s="173"/>
      <c r="BG1546" s="173"/>
      <c r="BH1546" s="173"/>
      <c r="BI1546" s="173"/>
      <c r="BJ1546" s="173"/>
      <c r="BK1546" s="173"/>
      <c r="BL1546" s="173"/>
      <c r="BM1546" s="173"/>
      <c r="BN1546" s="173"/>
      <c r="BO1546" s="173"/>
      <c r="BP1546" s="173"/>
      <c r="BQ1546" s="173"/>
      <c r="BR1546" s="173"/>
      <c r="BS1546" s="173"/>
      <c r="BT1546" s="173"/>
      <c r="BU1546" s="173"/>
      <c r="BV1546" s="173"/>
      <c r="BW1546" s="173"/>
      <c r="BX1546" s="173"/>
      <c r="BY1546" s="173"/>
      <c r="BZ1546" s="173"/>
      <c r="CA1546" s="173"/>
      <c r="CB1546" s="173"/>
      <c r="CC1546" s="173"/>
      <c r="CD1546" s="173"/>
      <c r="CE1546" s="173"/>
      <c r="CF1546" s="173"/>
    </row>
    <row r="1547" spans="1:84" s="224" customFormat="1" ht="40" x14ac:dyDescent="0.35">
      <c r="A1547" s="17" t="s">
        <v>3921</v>
      </c>
      <c r="B1547" s="17" t="s">
        <v>45</v>
      </c>
      <c r="C1547" s="17">
        <v>2025</v>
      </c>
      <c r="D1547" s="17" t="str">
        <f t="array" ref="D1547">_xlfn.SWITCH(E1547,"Bagor","35.18.14","Sukomoro",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47" s="10" t="s">
        <v>114</v>
      </c>
      <c r="F1547" s="17" t="s">
        <v>3667</v>
      </c>
      <c r="G1547" s="17" t="s">
        <v>3668</v>
      </c>
      <c r="H1547" s="10" t="s">
        <v>991</v>
      </c>
      <c r="I1547" s="16">
        <v>109</v>
      </c>
      <c r="J1547" s="16">
        <v>5</v>
      </c>
      <c r="K1547" s="10">
        <v>114</v>
      </c>
      <c r="L1547" s="13">
        <v>25022088612</v>
      </c>
      <c r="M1547" s="17" t="s">
        <v>3669</v>
      </c>
      <c r="N1547" s="249">
        <v>10800000</v>
      </c>
      <c r="O1547" s="10" t="s">
        <v>3275</v>
      </c>
      <c r="P1547" s="256">
        <v>135292600209</v>
      </c>
      <c r="Q1547" s="195" t="s">
        <v>3670</v>
      </c>
      <c r="R1547" s="15">
        <v>25093200</v>
      </c>
      <c r="S1547" s="10"/>
      <c r="T1547" s="257">
        <f>R1547*3000</f>
        <v>75279600000</v>
      </c>
      <c r="U1547" s="240"/>
      <c r="V1547" s="240"/>
      <c r="W1547" s="10"/>
      <c r="X1547" s="10"/>
      <c r="Y1547" s="246" t="s">
        <v>3005</v>
      </c>
      <c r="Z1547" s="10"/>
      <c r="AA1547" s="10"/>
      <c r="AB1547" s="10"/>
      <c r="AC1547" s="253" t="s">
        <v>3671</v>
      </c>
      <c r="AD1547" s="10"/>
      <c r="AE1547" s="254"/>
      <c r="AF1547" s="174"/>
      <c r="AG1547" s="173"/>
      <c r="AH1547" s="173"/>
      <c r="AI1547" s="173"/>
      <c r="AJ1547" s="173"/>
      <c r="AK1547" s="173"/>
      <c r="AL1547" s="173"/>
      <c r="AM1547" s="173"/>
      <c r="AN1547" s="173"/>
      <c r="AO1547" s="173"/>
      <c r="AP1547" s="173"/>
      <c r="AQ1547" s="173"/>
      <c r="AR1547" s="173"/>
      <c r="AS1547" s="173"/>
      <c r="AT1547" s="173"/>
      <c r="AU1547" s="173"/>
      <c r="AV1547" s="173"/>
      <c r="AW1547" s="173"/>
      <c r="AX1547" s="173"/>
      <c r="AY1547" s="173"/>
      <c r="AZ1547" s="173"/>
      <c r="BA1547" s="173"/>
      <c r="BB1547" s="173"/>
      <c r="BC1547" s="173"/>
      <c r="BD1547" s="173"/>
      <c r="BE1547" s="173"/>
      <c r="BF1547" s="173"/>
      <c r="BG1547" s="173"/>
      <c r="BH1547" s="173"/>
      <c r="BI1547" s="173"/>
      <c r="BJ1547" s="173"/>
      <c r="BK1547" s="173"/>
      <c r="BL1547" s="173"/>
      <c r="BM1547" s="173"/>
      <c r="BN1547" s="173"/>
      <c r="BO1547" s="173"/>
      <c r="BP1547" s="173"/>
      <c r="BQ1547" s="173"/>
      <c r="BR1547" s="173"/>
      <c r="BS1547" s="173"/>
      <c r="BT1547" s="173"/>
      <c r="BU1547" s="173"/>
      <c r="BV1547" s="173"/>
      <c r="BW1547" s="173"/>
      <c r="BX1547" s="173"/>
      <c r="BY1547" s="173"/>
      <c r="BZ1547" s="173"/>
      <c r="CA1547" s="173"/>
      <c r="CB1547" s="173"/>
      <c r="CC1547" s="173"/>
      <c r="CD1547" s="173"/>
      <c r="CE1547" s="173"/>
      <c r="CF1547" s="173"/>
    </row>
    <row r="1548" spans="1:84" s="224" customFormat="1" ht="30" x14ac:dyDescent="0.35">
      <c r="A1548" s="17" t="s">
        <v>3921</v>
      </c>
      <c r="B1548" s="17" t="s">
        <v>45</v>
      </c>
      <c r="C1548" s="17">
        <v>2025</v>
      </c>
      <c r="D1548" s="17" t="str">
        <f t="array" ref="D1548">_xlfn.SWITCH(E1548,"Bagor","35.18.14","Sukomoro",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548" s="10" t="s">
        <v>149</v>
      </c>
      <c r="F1548" s="17" t="s">
        <v>3672</v>
      </c>
      <c r="G1548" s="17" t="s">
        <v>3673</v>
      </c>
      <c r="H1548" s="10" t="s">
        <v>81</v>
      </c>
      <c r="I1548" s="16">
        <v>15</v>
      </c>
      <c r="J1548" s="16">
        <v>15</v>
      </c>
      <c r="K1548" s="10">
        <v>30</v>
      </c>
      <c r="L1548" s="13">
        <v>2000000000</v>
      </c>
      <c r="M1548" s="41" t="s">
        <v>3674</v>
      </c>
      <c r="N1548" s="13">
        <v>15000000</v>
      </c>
      <c r="O1548" s="10" t="s">
        <v>33</v>
      </c>
      <c r="P1548" s="248">
        <v>300000000</v>
      </c>
      <c r="Q1548" s="195" t="s">
        <v>34</v>
      </c>
      <c r="R1548" s="250"/>
      <c r="S1548" s="10"/>
      <c r="T1548" s="192">
        <v>150000000</v>
      </c>
      <c r="U1548" s="10"/>
      <c r="V1548" s="10"/>
      <c r="W1548" s="10"/>
      <c r="X1548" s="10"/>
      <c r="Y1548" s="246" t="s">
        <v>3005</v>
      </c>
      <c r="Z1548" s="10"/>
      <c r="AA1548" s="10"/>
      <c r="AB1548" s="10"/>
      <c r="AC1548" s="253" t="s">
        <v>3675</v>
      </c>
      <c r="AD1548" s="10"/>
      <c r="AE1548" s="254"/>
      <c r="AF1548" s="174"/>
      <c r="AG1548" s="173"/>
      <c r="AH1548" s="173"/>
      <c r="AI1548" s="173"/>
      <c r="AJ1548" s="173"/>
      <c r="AK1548" s="173"/>
      <c r="AL1548" s="173"/>
      <c r="AM1548" s="173"/>
      <c r="AN1548" s="173"/>
      <c r="AO1548" s="173"/>
      <c r="AP1548" s="173"/>
      <c r="AQ1548" s="173"/>
      <c r="AR1548" s="173"/>
      <c r="AS1548" s="173"/>
      <c r="AT1548" s="173"/>
      <c r="AU1548" s="173"/>
      <c r="AV1548" s="173"/>
      <c r="AW1548" s="173"/>
      <c r="AX1548" s="173"/>
      <c r="AY1548" s="173"/>
      <c r="AZ1548" s="173"/>
      <c r="BA1548" s="173"/>
      <c r="BB1548" s="173"/>
      <c r="BC1548" s="173"/>
      <c r="BD1548" s="173"/>
      <c r="BE1548" s="173"/>
      <c r="BF1548" s="173"/>
      <c r="BG1548" s="173"/>
      <c r="BH1548" s="173"/>
      <c r="BI1548" s="173"/>
      <c r="BJ1548" s="173"/>
      <c r="BK1548" s="173"/>
      <c r="BL1548" s="173"/>
      <c r="BM1548" s="173"/>
      <c r="BN1548" s="173"/>
      <c r="BO1548" s="173"/>
      <c r="BP1548" s="173"/>
      <c r="BQ1548" s="173"/>
      <c r="BR1548" s="173"/>
      <c r="BS1548" s="173"/>
      <c r="BT1548" s="173"/>
      <c r="BU1548" s="173"/>
      <c r="BV1548" s="173"/>
      <c r="BW1548" s="173"/>
      <c r="BX1548" s="173"/>
      <c r="BY1548" s="173"/>
      <c r="BZ1548" s="173"/>
      <c r="CA1548" s="173"/>
      <c r="CB1548" s="173"/>
      <c r="CC1548" s="173"/>
      <c r="CD1548" s="173"/>
      <c r="CE1548" s="173"/>
      <c r="CF1548" s="173"/>
    </row>
    <row r="1549" spans="1:84" s="224" customFormat="1" ht="50" x14ac:dyDescent="0.35">
      <c r="A1549" s="17" t="s">
        <v>3921</v>
      </c>
      <c r="B1549" s="17" t="s">
        <v>45</v>
      </c>
      <c r="C1549" s="17">
        <v>2025</v>
      </c>
      <c r="D1549" s="17" t="str">
        <f t="array" ref="D1549">_xlfn.SWITCH(E1549,"Bagor","35.18.14","Sukomoro",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549" s="10" t="s">
        <v>188</v>
      </c>
      <c r="F1549" s="17" t="s">
        <v>3676</v>
      </c>
      <c r="G1549" s="195" t="s">
        <v>3677</v>
      </c>
      <c r="H1549" s="10" t="s">
        <v>991</v>
      </c>
      <c r="I1549" s="16">
        <v>12</v>
      </c>
      <c r="J1549" s="16">
        <v>132</v>
      </c>
      <c r="K1549" s="10">
        <v>144</v>
      </c>
      <c r="L1549" s="13">
        <v>10226135535</v>
      </c>
      <c r="M1549" s="195" t="s">
        <v>3678</v>
      </c>
      <c r="N1549" s="14">
        <v>70000000</v>
      </c>
      <c r="O1549" s="10" t="s">
        <v>33</v>
      </c>
      <c r="P1549" s="248">
        <f>N1549*250</f>
        <v>17500000000</v>
      </c>
      <c r="Q1549" s="195" t="s">
        <v>3679</v>
      </c>
      <c r="R1549" s="209">
        <v>62572</v>
      </c>
      <c r="S1549" s="255" t="s">
        <v>35</v>
      </c>
      <c r="T1549" s="258" t="s">
        <v>3680</v>
      </c>
      <c r="U1549" s="10"/>
      <c r="V1549" s="10"/>
      <c r="W1549" s="10"/>
      <c r="X1549" s="10"/>
      <c r="Y1549" s="246" t="s">
        <v>3005</v>
      </c>
      <c r="Z1549" s="10"/>
      <c r="AA1549" s="10"/>
      <c r="AB1549" s="10"/>
      <c r="AC1549" s="253" t="s">
        <v>3681</v>
      </c>
      <c r="AD1549" s="10"/>
      <c r="AE1549" s="254"/>
      <c r="AF1549" s="174"/>
      <c r="AG1549" s="173"/>
      <c r="AH1549" s="173"/>
      <c r="AI1549" s="173"/>
      <c r="AJ1549" s="173"/>
      <c r="AK1549" s="173"/>
      <c r="AL1549" s="173"/>
      <c r="AM1549" s="173"/>
      <c r="AN1549" s="173"/>
      <c r="AO1549" s="173"/>
      <c r="AP1549" s="173"/>
      <c r="AQ1549" s="173"/>
      <c r="AR1549" s="173"/>
      <c r="AS1549" s="173"/>
      <c r="AT1549" s="173"/>
      <c r="AU1549" s="173"/>
      <c r="AV1549" s="173"/>
      <c r="AW1549" s="173"/>
      <c r="AX1549" s="173"/>
      <c r="AY1549" s="173"/>
      <c r="AZ1549" s="173"/>
      <c r="BA1549" s="173"/>
      <c r="BB1549" s="173"/>
      <c r="BC1549" s="173"/>
      <c r="BD1549" s="173"/>
      <c r="BE1549" s="173"/>
      <c r="BF1549" s="173"/>
      <c r="BG1549" s="173"/>
      <c r="BH1549" s="173"/>
      <c r="BI1549" s="173"/>
      <c r="BJ1549" s="173"/>
      <c r="BK1549" s="173"/>
      <c r="BL1549" s="173"/>
      <c r="BM1549" s="173"/>
      <c r="BN1549" s="173"/>
      <c r="BO1549" s="173"/>
      <c r="BP1549" s="173"/>
      <c r="BQ1549" s="173"/>
      <c r="BR1549" s="173"/>
      <c r="BS1549" s="173"/>
      <c r="BT1549" s="173"/>
      <c r="BU1549" s="173"/>
      <c r="BV1549" s="173"/>
      <c r="BW1549" s="173"/>
      <c r="BX1549" s="173"/>
      <c r="BY1549" s="173"/>
      <c r="BZ1549" s="173"/>
      <c r="CA1549" s="173"/>
      <c r="CB1549" s="173"/>
      <c r="CC1549" s="173"/>
      <c r="CD1549" s="173"/>
      <c r="CE1549" s="173"/>
      <c r="CF1549" s="173"/>
    </row>
    <row r="1550" spans="1:84" s="224" customFormat="1" ht="50" x14ac:dyDescent="0.35">
      <c r="A1550" s="17" t="s">
        <v>3921</v>
      </c>
      <c r="B1550" s="17" t="s">
        <v>45</v>
      </c>
      <c r="C1550" s="17">
        <v>2025</v>
      </c>
      <c r="D1550" s="17" t="str">
        <f t="array" ref="D1550">_xlfn.SWITCH(E1550,"Jatikalen","35.18.20","Kertosono", "35.18.08","Lengkong","35.18.19","Loceret","35.18.04","Tanjunganom","35.18.11","Wilangan","35.18.15")</f>
        <v>35.18.20</v>
      </c>
      <c r="E1550" s="10" t="s">
        <v>1083</v>
      </c>
      <c r="F1550" s="17" t="s">
        <v>3682</v>
      </c>
      <c r="G1550" s="195" t="s">
        <v>3683</v>
      </c>
      <c r="H1550" s="10" t="s">
        <v>991</v>
      </c>
      <c r="I1550" s="16">
        <v>102</v>
      </c>
      <c r="J1550" s="16">
        <v>24</v>
      </c>
      <c r="K1550" s="10">
        <v>126</v>
      </c>
      <c r="L1550" s="13">
        <v>10224649000</v>
      </c>
      <c r="M1550" s="17" t="s">
        <v>3684</v>
      </c>
      <c r="N1550" s="13">
        <v>800000</v>
      </c>
      <c r="O1550" s="10" t="s">
        <v>422</v>
      </c>
      <c r="P1550" s="248">
        <v>25272620000</v>
      </c>
      <c r="Q1550" s="195" t="s">
        <v>3685</v>
      </c>
      <c r="R1550" s="250" t="s">
        <v>3686</v>
      </c>
      <c r="S1550" s="255" t="s">
        <v>35</v>
      </c>
      <c r="T1550" s="259" t="s">
        <v>3687</v>
      </c>
      <c r="U1550" s="10"/>
      <c r="V1550" s="43" t="s">
        <v>3688</v>
      </c>
      <c r="W1550" s="10">
        <v>502</v>
      </c>
      <c r="X1550" s="10" t="s">
        <v>143</v>
      </c>
      <c r="Y1550" s="246" t="s">
        <v>3005</v>
      </c>
      <c r="Z1550" s="10"/>
      <c r="AA1550" s="10"/>
      <c r="AB1550" s="10"/>
      <c r="AC1550" s="253" t="s">
        <v>3689</v>
      </c>
      <c r="AD1550" s="10"/>
      <c r="AE1550" s="254"/>
      <c r="AF1550" s="174"/>
      <c r="AG1550" s="173"/>
      <c r="AH1550" s="173"/>
      <c r="AI1550" s="173"/>
      <c r="AJ1550" s="173"/>
      <c r="AK1550" s="173"/>
      <c r="AL1550" s="173"/>
      <c r="AM1550" s="173"/>
      <c r="AN1550" s="173"/>
      <c r="AO1550" s="173"/>
      <c r="AP1550" s="173"/>
      <c r="AQ1550" s="173"/>
      <c r="AR1550" s="173"/>
      <c r="AS1550" s="173"/>
      <c r="AT1550" s="173"/>
      <c r="AU1550" s="173"/>
      <c r="AV1550" s="173"/>
      <c r="AW1550" s="173"/>
      <c r="AX1550" s="173"/>
      <c r="AY1550" s="173"/>
      <c r="AZ1550" s="173"/>
      <c r="BA1550" s="173"/>
      <c r="BB1550" s="173"/>
      <c r="BC1550" s="173"/>
      <c r="BD1550" s="173"/>
      <c r="BE1550" s="173"/>
      <c r="BF1550" s="173"/>
      <c r="BG1550" s="173"/>
      <c r="BH1550" s="173"/>
      <c r="BI1550" s="173"/>
      <c r="BJ1550" s="173"/>
      <c r="BK1550" s="173"/>
      <c r="BL1550" s="173"/>
      <c r="BM1550" s="173"/>
      <c r="BN1550" s="173"/>
      <c r="BO1550" s="173"/>
      <c r="BP1550" s="173"/>
      <c r="BQ1550" s="173"/>
      <c r="BR1550" s="173"/>
      <c r="BS1550" s="173"/>
      <c r="BT1550" s="173"/>
      <c r="BU1550" s="173"/>
      <c r="BV1550" s="173"/>
      <c r="BW1550" s="173"/>
      <c r="BX1550" s="173"/>
      <c r="BY1550" s="173"/>
      <c r="BZ1550" s="173"/>
      <c r="CA1550" s="173"/>
      <c r="CB1550" s="173"/>
      <c r="CC1550" s="173"/>
      <c r="CD1550" s="173"/>
      <c r="CE1550" s="173"/>
      <c r="CF1550" s="173"/>
    </row>
    <row r="1551" spans="1:84" s="224" customFormat="1" ht="40" x14ac:dyDescent="0.35">
      <c r="A1551" s="17" t="s">
        <v>3921</v>
      </c>
      <c r="B1551" s="17" t="s">
        <v>45</v>
      </c>
      <c r="C1551" s="17">
        <v>2025</v>
      </c>
      <c r="D1551" s="17" t="str">
        <f t="array" ref="D1551">_xlfn.SWITCH(E1551,"Bagor","35.18.14","Sukomoro",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51" s="10" t="s">
        <v>103</v>
      </c>
      <c r="F1551" s="17" t="s">
        <v>3690</v>
      </c>
      <c r="G1551" s="17" t="s">
        <v>3691</v>
      </c>
      <c r="H1551" s="10" t="s">
        <v>991</v>
      </c>
      <c r="I1551" s="16">
        <v>54</v>
      </c>
      <c r="J1551" s="16">
        <v>56</v>
      </c>
      <c r="K1551" s="10">
        <v>110</v>
      </c>
      <c r="L1551" s="13">
        <v>11000000000</v>
      </c>
      <c r="M1551" s="195"/>
      <c r="N1551" s="13">
        <v>75000</v>
      </c>
      <c r="O1551" s="10" t="s">
        <v>3275</v>
      </c>
      <c r="P1551" s="248">
        <f>N1551*500000</f>
        <v>37500000000</v>
      </c>
      <c r="Q1551" s="199" t="s">
        <v>3692</v>
      </c>
      <c r="R1551" s="259">
        <v>150</v>
      </c>
      <c r="S1551" s="10" t="s">
        <v>2691</v>
      </c>
      <c r="T1551" s="248"/>
      <c r="U1551" s="10"/>
      <c r="V1551" s="10"/>
      <c r="W1551" s="10"/>
      <c r="X1551" s="10"/>
      <c r="Y1551" s="246" t="s">
        <v>3005</v>
      </c>
      <c r="Z1551" s="10"/>
      <c r="AA1551" s="10"/>
      <c r="AB1551" s="10"/>
      <c r="AC1551" s="253" t="s">
        <v>3693</v>
      </c>
      <c r="AD1551" s="10"/>
      <c r="AE1551" s="254"/>
      <c r="AF1551" s="174"/>
      <c r="AG1551" s="173"/>
      <c r="AH1551" s="173"/>
      <c r="AI1551" s="173"/>
      <c r="AJ1551" s="173"/>
      <c r="AK1551" s="173"/>
      <c r="AL1551" s="173"/>
      <c r="AM1551" s="173"/>
      <c r="AN1551" s="173"/>
      <c r="AO1551" s="173"/>
      <c r="AP1551" s="173"/>
      <c r="AQ1551" s="173"/>
      <c r="AR1551" s="173"/>
      <c r="AS1551" s="173"/>
      <c r="AT1551" s="173"/>
      <c r="AU1551" s="173"/>
      <c r="AV1551" s="173"/>
      <c r="AW1551" s="173"/>
      <c r="AX1551" s="173"/>
      <c r="AY1551" s="173"/>
      <c r="AZ1551" s="173"/>
      <c r="BA1551" s="173"/>
      <c r="BB1551" s="173"/>
      <c r="BC1551" s="173"/>
      <c r="BD1551" s="173"/>
      <c r="BE1551" s="173"/>
      <c r="BF1551" s="173"/>
      <c r="BG1551" s="173"/>
      <c r="BH1551" s="173"/>
      <c r="BI1551" s="173"/>
      <c r="BJ1551" s="173"/>
      <c r="BK1551" s="173"/>
      <c r="BL1551" s="173"/>
      <c r="BM1551" s="173"/>
      <c r="BN1551" s="173"/>
      <c r="BO1551" s="173"/>
      <c r="BP1551" s="173"/>
      <c r="BQ1551" s="173"/>
      <c r="BR1551" s="173"/>
      <c r="BS1551" s="173"/>
      <c r="BT1551" s="173"/>
      <c r="BU1551" s="173"/>
      <c r="BV1551" s="173"/>
      <c r="BW1551" s="173"/>
      <c r="BX1551" s="173"/>
      <c r="BY1551" s="173"/>
      <c r="BZ1551" s="173"/>
      <c r="CA1551" s="173"/>
      <c r="CB1551" s="173"/>
      <c r="CC1551" s="173"/>
      <c r="CD1551" s="173"/>
      <c r="CE1551" s="173"/>
      <c r="CF1551" s="173"/>
    </row>
    <row r="1552" spans="1:84" s="224" customFormat="1" ht="30" x14ac:dyDescent="0.35">
      <c r="A1552" s="17" t="s">
        <v>3921</v>
      </c>
      <c r="B1552" s="17" t="s">
        <v>45</v>
      </c>
      <c r="C1552" s="17">
        <v>2025</v>
      </c>
      <c r="D1552" s="17" t="str">
        <f t="array" ref="D1552">_xlfn.SWITCH(E1552,"Jatikalen","35.18.20","Kertosono", "35.18.08","Lengkong","35.18.19","Loceret","35.18.04","Tanjunganom","35.18.11","Wilangan","35.18.15")</f>
        <v>35.18.11</v>
      </c>
      <c r="E1552" s="10" t="s">
        <v>60</v>
      </c>
      <c r="F1552" s="17" t="s">
        <v>3694</v>
      </c>
      <c r="G1552" s="17" t="s">
        <v>3695</v>
      </c>
      <c r="H1552" s="10" t="s">
        <v>991</v>
      </c>
      <c r="I1552" s="16">
        <v>375</v>
      </c>
      <c r="J1552" s="16">
        <v>375</v>
      </c>
      <c r="K1552" s="10">
        <v>750</v>
      </c>
      <c r="L1552" s="13">
        <v>500000000</v>
      </c>
      <c r="M1552" s="17" t="s">
        <v>3696</v>
      </c>
      <c r="N1552" s="13">
        <v>135000</v>
      </c>
      <c r="O1552" s="10"/>
      <c r="P1552" s="248">
        <f>N1552*300000</f>
        <v>40500000000</v>
      </c>
      <c r="Q1552" s="195"/>
      <c r="R1552" s="250"/>
      <c r="S1552" s="10"/>
      <c r="T1552" s="248"/>
      <c r="U1552" s="10"/>
      <c r="V1552" s="10"/>
      <c r="W1552" s="10"/>
      <c r="X1552" s="10"/>
      <c r="Y1552" s="246" t="s">
        <v>3005</v>
      </c>
      <c r="Z1552" s="10"/>
      <c r="AA1552" s="10"/>
      <c r="AB1552" s="10"/>
      <c r="AC1552" s="253" t="s">
        <v>3697</v>
      </c>
      <c r="AD1552" s="10"/>
      <c r="AE1552" s="254"/>
      <c r="AF1552" s="174"/>
      <c r="AG1552" s="173"/>
      <c r="AH1552" s="173"/>
      <c r="AI1552" s="173"/>
      <c r="AJ1552" s="173"/>
      <c r="AK1552" s="173"/>
      <c r="AL1552" s="173"/>
      <c r="AM1552" s="173"/>
      <c r="AN1552" s="173"/>
      <c r="AO1552" s="173"/>
      <c r="AP1552" s="173"/>
      <c r="AQ1552" s="173"/>
      <c r="AR1552" s="173"/>
      <c r="AS1552" s="173"/>
      <c r="AT1552" s="173"/>
      <c r="AU1552" s="173"/>
      <c r="AV1552" s="173"/>
      <c r="AW1552" s="173"/>
      <c r="AX1552" s="173"/>
      <c r="AY1552" s="173"/>
      <c r="AZ1552" s="173"/>
      <c r="BA1552" s="173"/>
      <c r="BB1552" s="173"/>
      <c r="BC1552" s="173"/>
      <c r="BD1552" s="173"/>
      <c r="BE1552" s="173"/>
      <c r="BF1552" s="173"/>
      <c r="BG1552" s="173"/>
      <c r="BH1552" s="173"/>
      <c r="BI1552" s="173"/>
      <c r="BJ1552" s="173"/>
      <c r="BK1552" s="173"/>
      <c r="BL1552" s="173"/>
      <c r="BM1552" s="173"/>
      <c r="BN1552" s="173"/>
      <c r="BO1552" s="173"/>
      <c r="BP1552" s="173"/>
      <c r="BQ1552" s="173"/>
      <c r="BR1552" s="173"/>
      <c r="BS1552" s="173"/>
      <c r="BT1552" s="173"/>
      <c r="BU1552" s="173"/>
      <c r="BV1552" s="173"/>
      <c r="BW1552" s="173"/>
      <c r="BX1552" s="173"/>
      <c r="BY1552" s="173"/>
      <c r="BZ1552" s="173"/>
      <c r="CA1552" s="173"/>
      <c r="CB1552" s="173"/>
      <c r="CC1552" s="173"/>
      <c r="CD1552" s="173"/>
      <c r="CE1552" s="173"/>
      <c r="CF1552" s="173"/>
    </row>
    <row r="1553" spans="1:84" s="224" customFormat="1" ht="40" x14ac:dyDescent="0.35">
      <c r="A1553" s="17" t="s">
        <v>3921</v>
      </c>
      <c r="B1553" s="17" t="s">
        <v>45</v>
      </c>
      <c r="C1553" s="17">
        <v>2025</v>
      </c>
      <c r="D1553" s="17" t="str">
        <f t="array" ref="D1553">_xlfn.SWITCH(E1553,"Bagor","35.18.14","Sukomoro",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3" s="10" t="s">
        <v>45</v>
      </c>
      <c r="F1553" s="17" t="s">
        <v>3698</v>
      </c>
      <c r="G1553" s="195" t="s">
        <v>3699</v>
      </c>
      <c r="H1553" s="10" t="s">
        <v>2917</v>
      </c>
      <c r="I1553" s="16">
        <v>1</v>
      </c>
      <c r="J1553" s="16">
        <v>1</v>
      </c>
      <c r="K1553" s="10">
        <v>2</v>
      </c>
      <c r="L1553" s="13">
        <v>15000000</v>
      </c>
      <c r="M1553" s="195" t="s">
        <v>3700</v>
      </c>
      <c r="N1553" s="13">
        <v>7000</v>
      </c>
      <c r="O1553" s="10" t="s">
        <v>2680</v>
      </c>
      <c r="P1553" s="248">
        <v>28000000</v>
      </c>
      <c r="Q1553" s="195" t="s">
        <v>3040</v>
      </c>
      <c r="R1553" s="250"/>
      <c r="S1553" s="10"/>
      <c r="T1553" s="248"/>
      <c r="U1553" s="10"/>
      <c r="V1553" s="10"/>
      <c r="W1553" s="10"/>
      <c r="X1553" s="10"/>
      <c r="Y1553" s="246" t="s">
        <v>3005</v>
      </c>
      <c r="Z1553" s="10"/>
      <c r="AA1553" s="10"/>
      <c r="AB1553" s="10"/>
      <c r="AC1553" s="253" t="s">
        <v>3701</v>
      </c>
      <c r="AD1553" s="10"/>
      <c r="AE1553" s="254"/>
      <c r="AF1553" s="174"/>
      <c r="AG1553" s="173"/>
      <c r="AH1553" s="173"/>
      <c r="AI1553" s="173"/>
      <c r="AJ1553" s="173"/>
      <c r="AK1553" s="173"/>
      <c r="AL1553" s="173"/>
      <c r="AM1553" s="173"/>
      <c r="AN1553" s="173"/>
      <c r="AO1553" s="173"/>
      <c r="AP1553" s="173"/>
      <c r="AQ1553" s="173"/>
      <c r="AR1553" s="173"/>
      <c r="AS1553" s="173"/>
      <c r="AT1553" s="173"/>
      <c r="AU1553" s="173"/>
      <c r="AV1553" s="173"/>
      <c r="AW1553" s="173"/>
      <c r="AX1553" s="173"/>
      <c r="AY1553" s="173"/>
      <c r="AZ1553" s="173"/>
      <c r="BA1553" s="173"/>
      <c r="BB1553" s="173"/>
      <c r="BC1553" s="173"/>
      <c r="BD1553" s="173"/>
      <c r="BE1553" s="173"/>
      <c r="BF1553" s="173"/>
      <c r="BG1553" s="173"/>
      <c r="BH1553" s="173"/>
      <c r="BI1553" s="173"/>
      <c r="BJ1553" s="173"/>
      <c r="BK1553" s="173"/>
      <c r="BL1553" s="173"/>
      <c r="BM1553" s="173"/>
      <c r="BN1553" s="173"/>
      <c r="BO1553" s="173"/>
      <c r="BP1553" s="173"/>
      <c r="BQ1553" s="173"/>
      <c r="BR1553" s="173"/>
      <c r="BS1553" s="173"/>
      <c r="BT1553" s="173"/>
      <c r="BU1553" s="173"/>
      <c r="BV1553" s="173"/>
      <c r="BW1553" s="173"/>
      <c r="BX1553" s="173"/>
      <c r="BY1553" s="173"/>
      <c r="BZ1553" s="173"/>
      <c r="CA1553" s="173"/>
      <c r="CB1553" s="173"/>
      <c r="CC1553" s="173"/>
      <c r="CD1553" s="173"/>
      <c r="CE1553" s="173"/>
      <c r="CF1553" s="173"/>
    </row>
    <row r="1554" spans="1:84" s="224" customFormat="1" ht="50" x14ac:dyDescent="0.35">
      <c r="A1554" s="17" t="s">
        <v>3921</v>
      </c>
      <c r="B1554" s="17" t="s">
        <v>45</v>
      </c>
      <c r="C1554" s="17">
        <v>2025</v>
      </c>
      <c r="D1554" s="17" t="str">
        <f t="array" ref="D1554">_xlfn.SWITCH(E1554,"Bagor","35.18.14","Sukomoro",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4" s="10" t="s">
        <v>45</v>
      </c>
      <c r="F1554" s="17" t="s">
        <v>3702</v>
      </c>
      <c r="G1554" s="195" t="s">
        <v>3703</v>
      </c>
      <c r="H1554" s="10" t="s">
        <v>2917</v>
      </c>
      <c r="I1554" s="16">
        <v>1</v>
      </c>
      <c r="J1554" s="16">
        <v>1</v>
      </c>
      <c r="K1554" s="10">
        <v>2</v>
      </c>
      <c r="L1554" s="13">
        <v>20000000</v>
      </c>
      <c r="M1554" s="195" t="s">
        <v>1367</v>
      </c>
      <c r="N1554" s="13">
        <v>180</v>
      </c>
      <c r="O1554" s="10" t="s">
        <v>1116</v>
      </c>
      <c r="P1554" s="248">
        <v>72000000</v>
      </c>
      <c r="Q1554" s="195" t="s">
        <v>2690</v>
      </c>
      <c r="R1554" s="250"/>
      <c r="S1554" s="10"/>
      <c r="T1554" s="248"/>
      <c r="U1554" s="10"/>
      <c r="V1554" s="10"/>
      <c r="W1554" s="10"/>
      <c r="X1554" s="10"/>
      <c r="Y1554" s="246" t="s">
        <v>3005</v>
      </c>
      <c r="Z1554" s="10"/>
      <c r="AA1554" s="10"/>
      <c r="AB1554" s="10"/>
      <c r="AC1554" s="260" t="s">
        <v>3704</v>
      </c>
      <c r="AD1554" s="10"/>
      <c r="AE1554" s="254"/>
      <c r="AF1554" s="174"/>
      <c r="AG1554" s="173"/>
      <c r="AH1554" s="173"/>
      <c r="AI1554" s="173"/>
      <c r="AJ1554" s="173"/>
      <c r="AK1554" s="173"/>
      <c r="AL1554" s="173"/>
      <c r="AM1554" s="173"/>
      <c r="AN1554" s="173"/>
      <c r="AO1554" s="173"/>
      <c r="AP1554" s="173"/>
      <c r="AQ1554" s="173"/>
      <c r="AR1554" s="173"/>
      <c r="AS1554" s="173"/>
      <c r="AT1554" s="173"/>
      <c r="AU1554" s="173"/>
      <c r="AV1554" s="173"/>
      <c r="AW1554" s="173"/>
      <c r="AX1554" s="173"/>
      <c r="AY1554" s="173"/>
      <c r="AZ1554" s="173"/>
      <c r="BA1554" s="173"/>
      <c r="BB1554" s="173"/>
      <c r="BC1554" s="173"/>
      <c r="BD1554" s="173"/>
      <c r="BE1554" s="173"/>
      <c r="BF1554" s="173"/>
      <c r="BG1554" s="173"/>
      <c r="BH1554" s="173"/>
      <c r="BI1554" s="173"/>
      <c r="BJ1554" s="173"/>
      <c r="BK1554" s="173"/>
      <c r="BL1554" s="173"/>
      <c r="BM1554" s="173"/>
      <c r="BN1554" s="173"/>
      <c r="BO1554" s="173"/>
      <c r="BP1554" s="173"/>
      <c r="BQ1554" s="173"/>
      <c r="BR1554" s="173"/>
      <c r="BS1554" s="173"/>
      <c r="BT1554" s="173"/>
      <c r="BU1554" s="173"/>
      <c r="BV1554" s="173"/>
      <c r="BW1554" s="173"/>
      <c r="BX1554" s="173"/>
      <c r="BY1554" s="173"/>
      <c r="BZ1554" s="173"/>
      <c r="CA1554" s="173"/>
      <c r="CB1554" s="173"/>
      <c r="CC1554" s="173"/>
      <c r="CD1554" s="173"/>
      <c r="CE1554" s="173"/>
      <c r="CF1554" s="173"/>
    </row>
    <row r="1555" spans="1:84" s="173" customFormat="1" ht="30" x14ac:dyDescent="0.35">
      <c r="A1555" s="17" t="s">
        <v>3921</v>
      </c>
      <c r="B1555" s="17" t="s">
        <v>45</v>
      </c>
      <c r="C1555" s="17">
        <v>2025</v>
      </c>
      <c r="D1555" s="17" t="str">
        <f t="array" ref="D1555">_xlfn.SWITCH(E1555,"Bagor","35.18.14","Sukomoro",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555" s="10" t="s">
        <v>149</v>
      </c>
      <c r="F1555" s="17" t="s">
        <v>3672</v>
      </c>
      <c r="G1555" s="195" t="s">
        <v>3673</v>
      </c>
      <c r="H1555" s="10" t="s">
        <v>81</v>
      </c>
      <c r="I1555" s="16">
        <v>0</v>
      </c>
      <c r="J1555" s="16">
        <v>15</v>
      </c>
      <c r="K1555" s="10">
        <v>15</v>
      </c>
      <c r="L1555" s="13">
        <v>1000000000</v>
      </c>
      <c r="M1555" s="195" t="s">
        <v>464</v>
      </c>
      <c r="N1555" s="261">
        <v>7000000</v>
      </c>
      <c r="O1555" s="10" t="s">
        <v>33</v>
      </c>
      <c r="P1555" s="13">
        <f>N1555*270</f>
        <v>1890000000</v>
      </c>
      <c r="Q1555" s="195" t="s">
        <v>454</v>
      </c>
      <c r="R1555" s="250"/>
      <c r="S1555" s="10"/>
      <c r="T1555" s="262">
        <v>300000</v>
      </c>
      <c r="U1555" s="10"/>
      <c r="V1555" s="10"/>
      <c r="W1555" s="10"/>
      <c r="X1555" s="10"/>
      <c r="Y1555" s="21" t="s">
        <v>3005</v>
      </c>
      <c r="Z1555" s="10"/>
      <c r="AA1555" s="10"/>
      <c r="AB1555" s="10"/>
      <c r="AC1555" s="253" t="s">
        <v>3675</v>
      </c>
      <c r="AD1555" s="32"/>
      <c r="AF1555" s="174"/>
    </row>
    <row r="1556" spans="1:84" s="173" customFormat="1" ht="30" x14ac:dyDescent="0.35">
      <c r="A1556" s="17" t="s">
        <v>3921</v>
      </c>
      <c r="B1556" s="17" t="s">
        <v>45</v>
      </c>
      <c r="C1556" s="17">
        <v>2025</v>
      </c>
      <c r="D1556" s="17" t="str">
        <f t="array" ref="D1556">_xlfn.SWITCH(E1556,"Bagor","35.18.14","Sukomoro",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6" s="10" t="s">
        <v>45</v>
      </c>
      <c r="F1556" s="17" t="s">
        <v>3705</v>
      </c>
      <c r="G1556" s="195" t="s">
        <v>3706</v>
      </c>
      <c r="H1556" s="10" t="s">
        <v>2917</v>
      </c>
      <c r="I1556" s="16">
        <v>6</v>
      </c>
      <c r="J1556" s="16">
        <v>2</v>
      </c>
      <c r="K1556" s="10">
        <v>8</v>
      </c>
      <c r="L1556" s="13" t="s">
        <v>3707</v>
      </c>
      <c r="M1556" s="195" t="s">
        <v>3708</v>
      </c>
      <c r="N1556" s="13">
        <v>5000</v>
      </c>
      <c r="O1556" s="10" t="s">
        <v>1738</v>
      </c>
      <c r="P1556" s="248">
        <f>N1556*50000</f>
        <v>250000000</v>
      </c>
      <c r="Q1556" s="195"/>
      <c r="R1556" s="250"/>
      <c r="S1556" s="10"/>
      <c r="T1556" s="248"/>
      <c r="U1556" s="10"/>
      <c r="V1556" s="10"/>
      <c r="W1556" s="10"/>
      <c r="X1556" s="10"/>
      <c r="Y1556" s="21" t="s">
        <v>3005</v>
      </c>
      <c r="Z1556" s="10"/>
      <c r="AA1556" s="10"/>
      <c r="AB1556" s="10"/>
      <c r="AC1556" s="253" t="s">
        <v>3709</v>
      </c>
      <c r="AD1556" s="32"/>
      <c r="AF1556" s="174"/>
    </row>
    <row r="1557" spans="1:84" s="173" customFormat="1" ht="30" x14ac:dyDescent="0.35">
      <c r="A1557" s="17" t="s">
        <v>3921</v>
      </c>
      <c r="B1557" s="17" t="s">
        <v>45</v>
      </c>
      <c r="C1557" s="17">
        <v>2025</v>
      </c>
      <c r="D1557" s="17" t="str">
        <f t="array" ref="D1557">_xlfn.SWITCH(E1557,"Bagor","35.18.14","Sukomoro",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7" s="10" t="s">
        <v>45</v>
      </c>
      <c r="F1557" s="195" t="s">
        <v>3710</v>
      </c>
      <c r="G1557" s="195" t="s">
        <v>3711</v>
      </c>
      <c r="H1557" s="10" t="s">
        <v>991</v>
      </c>
      <c r="I1557" s="16">
        <v>5</v>
      </c>
      <c r="J1557" s="16">
        <v>6</v>
      </c>
      <c r="K1557" s="10">
        <v>11</v>
      </c>
      <c r="L1557" s="13" t="s">
        <v>3712</v>
      </c>
      <c r="M1557" s="17" t="s">
        <v>3713</v>
      </c>
      <c r="N1557" s="13">
        <v>860000</v>
      </c>
      <c r="O1557" s="10" t="s">
        <v>143</v>
      </c>
      <c r="P1557" s="14">
        <f>N1557*2000</f>
        <v>1720000000</v>
      </c>
      <c r="Q1557" s="195" t="s">
        <v>481</v>
      </c>
      <c r="R1557" s="209">
        <v>8000</v>
      </c>
      <c r="S1557" s="10" t="s">
        <v>143</v>
      </c>
      <c r="T1557" s="14"/>
      <c r="U1557" s="10"/>
      <c r="V1557" s="10"/>
      <c r="W1557" s="10"/>
      <c r="X1557" s="10"/>
      <c r="Y1557" s="21" t="s">
        <v>3005</v>
      </c>
      <c r="Z1557" s="10"/>
      <c r="AA1557" s="10"/>
      <c r="AB1557" s="10"/>
      <c r="AC1557" s="253" t="s">
        <v>3714</v>
      </c>
      <c r="AD1557" s="32"/>
      <c r="AF1557" s="174"/>
    </row>
    <row r="1558" spans="1:84" s="173" customFormat="1" ht="30" x14ac:dyDescent="0.35">
      <c r="A1558" s="17" t="s">
        <v>3921</v>
      </c>
      <c r="B1558" s="17" t="s">
        <v>45</v>
      </c>
      <c r="C1558" s="17">
        <v>2025</v>
      </c>
      <c r="D1558" s="17" t="str">
        <f t="array" ref="D1558">_xlfn.SWITCH(E1558,"Bagor","35.18.14","Sukomoro",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58" s="212" t="s">
        <v>103</v>
      </c>
      <c r="F1558" s="115" t="s">
        <v>3715</v>
      </c>
      <c r="G1558" s="115" t="s">
        <v>3716</v>
      </c>
      <c r="H1558" s="238" t="s">
        <v>31</v>
      </c>
      <c r="I1558" s="212">
        <v>4</v>
      </c>
      <c r="J1558" s="212">
        <v>0</v>
      </c>
      <c r="K1558" s="212">
        <v>4</v>
      </c>
      <c r="L1558" s="263">
        <v>4300000</v>
      </c>
      <c r="M1558" s="115" t="s">
        <v>759</v>
      </c>
      <c r="N1558" s="264">
        <v>1</v>
      </c>
      <c r="O1558" s="238" t="s">
        <v>1459</v>
      </c>
      <c r="P1558" s="216">
        <v>45000000</v>
      </c>
      <c r="Q1558" s="115" t="s">
        <v>3717</v>
      </c>
      <c r="R1558" s="193"/>
      <c r="S1558" s="16"/>
      <c r="T1558" s="10"/>
      <c r="U1558" s="10"/>
      <c r="V1558" s="238" t="s">
        <v>3718</v>
      </c>
      <c r="W1558" s="10"/>
      <c r="X1558" s="224"/>
      <c r="Y1558" s="21" t="s">
        <v>3005</v>
      </c>
      <c r="Z1558" s="10"/>
      <c r="AA1558" s="21"/>
      <c r="AB1558" s="10"/>
      <c r="AC1558" s="224"/>
      <c r="AD1558" s="224"/>
      <c r="AE1558" s="224"/>
      <c r="AF1558" s="174"/>
    </row>
    <row r="1559" spans="1:84" s="173" customFormat="1" ht="50" x14ac:dyDescent="0.35">
      <c r="A1559" s="17" t="s">
        <v>3921</v>
      </c>
      <c r="B1559" s="17" t="s">
        <v>45</v>
      </c>
      <c r="C1559" s="17">
        <v>2025</v>
      </c>
      <c r="D1559" s="17" t="str">
        <f t="array" ref="D1559">_xlfn.SWITCH(E1559,"Jatikalen","35.18.20","Kertosono", "35.18.08","Lengkong","35.18.19","Loceret","35.18.04","Tanjunganom","35.18.11","Wilangan","35.18.15")</f>
        <v>35.18.11</v>
      </c>
      <c r="E1559" s="10" t="s">
        <v>60</v>
      </c>
      <c r="F1559" s="17" t="s">
        <v>3719</v>
      </c>
      <c r="G1559" s="17" t="s">
        <v>3720</v>
      </c>
      <c r="H1559" s="16" t="s">
        <v>31</v>
      </c>
      <c r="I1559" s="10">
        <v>0</v>
      </c>
      <c r="J1559" s="10">
        <v>1</v>
      </c>
      <c r="K1559" s="10">
        <v>1</v>
      </c>
      <c r="L1559" s="263">
        <v>4000000</v>
      </c>
      <c r="M1559" s="115" t="s">
        <v>1675</v>
      </c>
      <c r="N1559" s="238"/>
      <c r="O1559" s="238"/>
      <c r="P1559" s="216">
        <v>8000000</v>
      </c>
      <c r="Q1559" s="115" t="s">
        <v>2100</v>
      </c>
      <c r="R1559" s="193"/>
      <c r="S1559" s="16"/>
      <c r="T1559" s="10"/>
      <c r="U1559" s="10"/>
      <c r="V1559" s="224"/>
      <c r="W1559" s="10"/>
      <c r="X1559" s="224"/>
      <c r="Y1559" s="21" t="s">
        <v>3005</v>
      </c>
      <c r="Z1559" s="10"/>
      <c r="AA1559" s="10"/>
      <c r="AB1559" s="10"/>
      <c r="AC1559" s="224"/>
      <c r="AD1559" s="224"/>
      <c r="AE1559" s="33" t="s">
        <v>3721</v>
      </c>
      <c r="AF1559" s="174"/>
    </row>
    <row r="1560" spans="1:84" s="224" customFormat="1" ht="30" x14ac:dyDescent="0.35">
      <c r="A1560" s="17" t="s">
        <v>3921</v>
      </c>
      <c r="B1560" s="17" t="s">
        <v>45</v>
      </c>
      <c r="C1560" s="17">
        <v>2025</v>
      </c>
      <c r="D1560" s="17" t="str">
        <f t="array" ref="D1560">_xlfn.SWITCH(E1560,"Bagor","35.18.14","Sukomoro",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60" s="10" t="s">
        <v>45</v>
      </c>
      <c r="F1560" s="17" t="s">
        <v>3722</v>
      </c>
      <c r="G1560" s="195" t="s">
        <v>3723</v>
      </c>
      <c r="H1560" s="10" t="s">
        <v>991</v>
      </c>
      <c r="I1560" s="16">
        <v>30</v>
      </c>
      <c r="J1560" s="16">
        <v>35</v>
      </c>
      <c r="K1560" s="10">
        <v>65</v>
      </c>
      <c r="L1560" s="13" t="s">
        <v>3724</v>
      </c>
      <c r="M1560" s="195" t="s">
        <v>3618</v>
      </c>
      <c r="N1560" s="13">
        <v>1660000</v>
      </c>
      <c r="O1560" s="10" t="s">
        <v>33</v>
      </c>
      <c r="P1560" s="248">
        <f>N1560*270</f>
        <v>448200000</v>
      </c>
      <c r="Q1560" s="195" t="s">
        <v>34</v>
      </c>
      <c r="R1560" s="250" t="s">
        <v>3725</v>
      </c>
      <c r="S1560" s="10"/>
      <c r="T1560" s="248"/>
      <c r="U1560" s="10"/>
      <c r="V1560" s="10"/>
      <c r="W1560" s="10"/>
      <c r="X1560" s="10"/>
      <c r="Y1560" s="21" t="s">
        <v>3005</v>
      </c>
      <c r="Z1560" s="10"/>
      <c r="AA1560" s="10"/>
      <c r="AB1560" s="10"/>
      <c r="AC1560" s="253" t="s">
        <v>3726</v>
      </c>
      <c r="AD1560" s="10"/>
      <c r="AE1560" s="254"/>
      <c r="AF1560" s="174"/>
      <c r="AG1560" s="173"/>
      <c r="AH1560" s="173"/>
      <c r="AI1560" s="173"/>
      <c r="AJ1560" s="173"/>
      <c r="AK1560" s="173"/>
      <c r="AL1560" s="173"/>
      <c r="AM1560" s="173"/>
      <c r="AN1560" s="173"/>
      <c r="AO1560" s="173"/>
      <c r="AP1560" s="173"/>
      <c r="AQ1560" s="173"/>
      <c r="AR1560" s="173"/>
      <c r="AS1560" s="173"/>
      <c r="AT1560" s="173"/>
      <c r="AU1560" s="173"/>
      <c r="AV1560" s="173"/>
      <c r="AW1560" s="173"/>
      <c r="AX1560" s="173"/>
      <c r="AY1560" s="173"/>
      <c r="AZ1560" s="173"/>
      <c r="BA1560" s="173"/>
      <c r="BB1560" s="173"/>
      <c r="BC1560" s="173"/>
      <c r="BD1560" s="173"/>
      <c r="BE1560" s="173"/>
      <c r="BF1560" s="173"/>
      <c r="BG1560" s="173"/>
      <c r="BH1560" s="173"/>
      <c r="BI1560" s="173"/>
      <c r="BJ1560" s="173"/>
      <c r="BK1560" s="173"/>
      <c r="BL1560" s="173"/>
      <c r="BM1560" s="173"/>
      <c r="BN1560" s="173"/>
      <c r="BO1560" s="173"/>
      <c r="BP1560" s="173"/>
      <c r="BQ1560" s="173"/>
      <c r="BR1560" s="173"/>
      <c r="BS1560" s="173"/>
      <c r="BT1560" s="173"/>
      <c r="BU1560" s="173"/>
      <c r="BV1560" s="173"/>
      <c r="BW1560" s="173"/>
      <c r="BX1560" s="173"/>
      <c r="BY1560" s="173"/>
      <c r="BZ1560" s="173"/>
      <c r="CA1560" s="173"/>
      <c r="CB1560" s="173"/>
      <c r="CC1560" s="173"/>
      <c r="CD1560" s="173"/>
      <c r="CE1560" s="173"/>
      <c r="CF1560" s="173"/>
    </row>
    <row r="1561" spans="1:84" s="224" customFormat="1" ht="40" x14ac:dyDescent="0.35">
      <c r="A1561" s="17" t="s">
        <v>3921</v>
      </c>
      <c r="B1561" s="17" t="s">
        <v>45</v>
      </c>
      <c r="C1561" s="17">
        <v>2025</v>
      </c>
      <c r="D1561" s="17" t="str">
        <f t="array" ref="D1561">_xlfn.SWITCH(E1561,"Bagor","35.18.14","Sukomoro",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61" s="10" t="s">
        <v>29</v>
      </c>
      <c r="F1561" s="17" t="s">
        <v>3727</v>
      </c>
      <c r="G1561" s="17" t="s">
        <v>3728</v>
      </c>
      <c r="H1561" s="10" t="s">
        <v>2917</v>
      </c>
      <c r="I1561" s="16">
        <v>34</v>
      </c>
      <c r="J1561" s="16">
        <v>1</v>
      </c>
      <c r="K1561" s="10">
        <v>35</v>
      </c>
      <c r="L1561" s="13">
        <v>375040000</v>
      </c>
      <c r="M1561" s="195" t="s">
        <v>3618</v>
      </c>
      <c r="N1561" s="13">
        <v>2210000</v>
      </c>
      <c r="O1561" s="10" t="s">
        <v>33</v>
      </c>
      <c r="P1561" s="13">
        <f>N1561*270</f>
        <v>596700000</v>
      </c>
      <c r="Q1561" s="195" t="s">
        <v>34</v>
      </c>
      <c r="R1561" s="209">
        <v>10</v>
      </c>
      <c r="S1561" s="10" t="s">
        <v>962</v>
      </c>
      <c r="T1561" s="13" t="s">
        <v>3729</v>
      </c>
      <c r="U1561" s="10"/>
      <c r="V1561" s="10" t="s">
        <v>3730</v>
      </c>
      <c r="W1561" s="10"/>
      <c r="X1561" s="10"/>
      <c r="Y1561" s="21" t="s">
        <v>3005</v>
      </c>
      <c r="Z1561" s="10"/>
      <c r="AA1561" s="10"/>
      <c r="AB1561" s="10"/>
      <c r="AC1561" s="253" t="s">
        <v>3731</v>
      </c>
      <c r="AD1561" s="10"/>
      <c r="AE1561" s="254"/>
      <c r="AF1561" s="174"/>
      <c r="AG1561" s="173"/>
      <c r="AH1561" s="173"/>
      <c r="AI1561" s="173"/>
      <c r="AJ1561" s="173"/>
      <c r="AK1561" s="173"/>
      <c r="AL1561" s="173"/>
      <c r="AM1561" s="173"/>
      <c r="AN1561" s="173"/>
      <c r="AO1561" s="173"/>
      <c r="AP1561" s="173"/>
      <c r="AQ1561" s="173"/>
      <c r="AR1561" s="173"/>
      <c r="AS1561" s="173"/>
      <c r="AT1561" s="173"/>
      <c r="AU1561" s="173"/>
      <c r="AV1561" s="173"/>
      <c r="AW1561" s="173"/>
      <c r="AX1561" s="173"/>
      <c r="AY1561" s="173"/>
      <c r="AZ1561" s="173"/>
      <c r="BA1561" s="173"/>
      <c r="BB1561" s="173"/>
      <c r="BC1561" s="173"/>
      <c r="BD1561" s="173"/>
      <c r="BE1561" s="173"/>
      <c r="BF1561" s="173"/>
      <c r="BG1561" s="173"/>
      <c r="BH1561" s="173"/>
      <c r="BI1561" s="173"/>
      <c r="BJ1561" s="173"/>
      <c r="BK1561" s="173"/>
      <c r="BL1561" s="173"/>
      <c r="BM1561" s="173"/>
      <c r="BN1561" s="173"/>
      <c r="BO1561" s="173"/>
      <c r="BP1561" s="173"/>
      <c r="BQ1561" s="173"/>
      <c r="BR1561" s="173"/>
      <c r="BS1561" s="173"/>
      <c r="BT1561" s="173"/>
      <c r="BU1561" s="173"/>
      <c r="BV1561" s="173"/>
      <c r="BW1561" s="173"/>
      <c r="BX1561" s="173"/>
      <c r="BY1561" s="173"/>
      <c r="BZ1561" s="173"/>
      <c r="CA1561" s="173"/>
      <c r="CB1561" s="173"/>
      <c r="CC1561" s="173"/>
      <c r="CD1561" s="173"/>
      <c r="CE1561" s="173"/>
      <c r="CF1561" s="173"/>
    </row>
    <row r="1562" spans="1:84" s="224" customFormat="1" ht="30" x14ac:dyDescent="0.35">
      <c r="A1562" s="17" t="s">
        <v>3921</v>
      </c>
      <c r="B1562" s="17" t="s">
        <v>45</v>
      </c>
      <c r="C1562" s="17">
        <v>2025</v>
      </c>
      <c r="D1562" s="17" t="str">
        <f t="array" ref="D1562">_xlfn.SWITCH(E1562,"Bagor","35.18.14","Sukomoro",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62" s="10" t="s">
        <v>29</v>
      </c>
      <c r="F1562" s="17" t="s">
        <v>3732</v>
      </c>
      <c r="G1562" s="195" t="s">
        <v>3733</v>
      </c>
      <c r="H1562" s="10" t="s">
        <v>2917</v>
      </c>
      <c r="I1562" s="16">
        <v>2</v>
      </c>
      <c r="J1562" s="16">
        <v>36</v>
      </c>
      <c r="K1562" s="10">
        <v>38</v>
      </c>
      <c r="L1562" s="13">
        <v>425250000</v>
      </c>
      <c r="M1562" s="195" t="s">
        <v>32</v>
      </c>
      <c r="N1562" s="14">
        <v>2500000</v>
      </c>
      <c r="O1562" s="10" t="s">
        <v>33</v>
      </c>
      <c r="P1562" s="13">
        <f>N1562*270</f>
        <v>675000000</v>
      </c>
      <c r="Q1562" s="195" t="s">
        <v>3734</v>
      </c>
      <c r="R1562" s="209">
        <v>1200</v>
      </c>
      <c r="S1562" s="10" t="s">
        <v>35</v>
      </c>
      <c r="T1562" s="13" t="s">
        <v>1260</v>
      </c>
      <c r="U1562" s="10"/>
      <c r="V1562" s="10" t="s">
        <v>3730</v>
      </c>
      <c r="W1562" s="10"/>
      <c r="X1562" s="10"/>
      <c r="Y1562" s="21" t="s">
        <v>3005</v>
      </c>
      <c r="Z1562" s="10"/>
      <c r="AA1562" s="10"/>
      <c r="AB1562" s="10"/>
      <c r="AC1562" s="253" t="s">
        <v>3735</v>
      </c>
      <c r="AD1562" s="10"/>
      <c r="AE1562" s="254"/>
      <c r="AF1562" s="174"/>
      <c r="AG1562" s="173"/>
      <c r="AH1562" s="173"/>
      <c r="AI1562" s="173"/>
      <c r="AJ1562" s="173"/>
      <c r="AK1562" s="173"/>
      <c r="AL1562" s="173"/>
      <c r="AM1562" s="173"/>
      <c r="AN1562" s="173"/>
      <c r="AO1562" s="173"/>
      <c r="AP1562" s="173"/>
      <c r="AQ1562" s="173"/>
      <c r="AR1562" s="173"/>
      <c r="AS1562" s="173"/>
      <c r="AT1562" s="173"/>
      <c r="AU1562" s="173"/>
      <c r="AV1562" s="173"/>
      <c r="AW1562" s="173"/>
      <c r="AX1562" s="173"/>
      <c r="AY1562" s="173"/>
      <c r="AZ1562" s="173"/>
      <c r="BA1562" s="173"/>
      <c r="BB1562" s="173"/>
      <c r="BC1562" s="173"/>
      <c r="BD1562" s="173"/>
      <c r="BE1562" s="173"/>
      <c r="BF1562" s="173"/>
      <c r="BG1562" s="173"/>
      <c r="BH1562" s="173"/>
      <c r="BI1562" s="173"/>
      <c r="BJ1562" s="173"/>
      <c r="BK1562" s="173"/>
      <c r="BL1562" s="173"/>
      <c r="BM1562" s="173"/>
      <c r="BN1562" s="173"/>
      <c r="BO1562" s="173"/>
      <c r="BP1562" s="173"/>
      <c r="BQ1562" s="173"/>
      <c r="BR1562" s="173"/>
      <c r="BS1562" s="173"/>
      <c r="BT1562" s="173"/>
      <c r="BU1562" s="173"/>
      <c r="BV1562" s="173"/>
      <c r="BW1562" s="173"/>
      <c r="BX1562" s="173"/>
      <c r="BY1562" s="173"/>
      <c r="BZ1562" s="173"/>
      <c r="CA1562" s="173"/>
      <c r="CB1562" s="173"/>
      <c r="CC1562" s="173"/>
      <c r="CD1562" s="173"/>
      <c r="CE1562" s="173"/>
      <c r="CF1562" s="173"/>
    </row>
    <row r="1563" spans="1:84" s="173" customFormat="1" ht="40" x14ac:dyDescent="0.35">
      <c r="A1563" s="17" t="s">
        <v>3921</v>
      </c>
      <c r="B1563" s="17" t="s">
        <v>45</v>
      </c>
      <c r="C1563" s="17">
        <v>2025</v>
      </c>
      <c r="D1563" s="17" t="str">
        <f t="array" ref="D1563">_xlfn.SWITCH(E1563,"Jatikalen","35.18.20","Kertosono", "35.18.08","Lengkong","35.18.19","Loceret","35.18.04","Tanjunganom","35.18.11","Wilangan","35.18.15")</f>
        <v>35.18.11</v>
      </c>
      <c r="E1563" s="10" t="s">
        <v>60</v>
      </c>
      <c r="F1563" s="17" t="s">
        <v>3736</v>
      </c>
      <c r="G1563" s="195" t="s">
        <v>3737</v>
      </c>
      <c r="H1563" s="10" t="s">
        <v>81</v>
      </c>
      <c r="I1563" s="16">
        <v>10</v>
      </c>
      <c r="J1563" s="16">
        <v>25</v>
      </c>
      <c r="K1563" s="10">
        <v>35</v>
      </c>
      <c r="L1563" s="13">
        <v>710000000</v>
      </c>
      <c r="M1563" s="195" t="s">
        <v>3618</v>
      </c>
      <c r="N1563" s="13">
        <v>3215600</v>
      </c>
      <c r="O1563" s="10" t="s">
        <v>1538</v>
      </c>
      <c r="P1563" s="13">
        <f>N1563*270</f>
        <v>868212000</v>
      </c>
      <c r="Q1563" s="195" t="s">
        <v>3734</v>
      </c>
      <c r="R1563" s="250">
        <v>100</v>
      </c>
      <c r="S1563" s="10" t="s">
        <v>35</v>
      </c>
      <c r="T1563" s="248">
        <f>R1563*150000</f>
        <v>15000000</v>
      </c>
      <c r="U1563" s="10"/>
      <c r="V1563" s="10"/>
      <c r="W1563" s="10"/>
      <c r="X1563" s="10"/>
      <c r="Y1563" s="21" t="s">
        <v>3005</v>
      </c>
      <c r="Z1563" s="10"/>
      <c r="AA1563" s="10"/>
      <c r="AB1563" s="10"/>
      <c r="AC1563" s="10" t="s">
        <v>3738</v>
      </c>
      <c r="AD1563" s="32"/>
      <c r="AF1563" s="174"/>
    </row>
    <row r="1564" spans="1:84" s="173" customFormat="1" ht="50" x14ac:dyDescent="0.35">
      <c r="A1564" s="17" t="s">
        <v>3921</v>
      </c>
      <c r="B1564" s="17" t="s">
        <v>45</v>
      </c>
      <c r="C1564" s="17">
        <v>2025</v>
      </c>
      <c r="D1564" s="17" t="str">
        <f t="array" ref="D1564">_xlfn.SWITCH(E1564,"Jatikalen","35.18.20","Kertosono", "35.18.08","Lengkong","35.18.19","Loceret","35.18.04","Tanjunganom","35.18.11","Wilangan","35.18.15")</f>
        <v>35.18.11</v>
      </c>
      <c r="E1564" s="10" t="s">
        <v>60</v>
      </c>
      <c r="F1564" s="17" t="s">
        <v>3739</v>
      </c>
      <c r="G1564" s="224" t="s">
        <v>3740</v>
      </c>
      <c r="H1564" s="10" t="s">
        <v>31</v>
      </c>
      <c r="I1564" s="16">
        <v>2</v>
      </c>
      <c r="J1564" s="16">
        <v>0</v>
      </c>
      <c r="K1564" s="10">
        <v>2</v>
      </c>
      <c r="L1564" s="13">
        <v>88000000</v>
      </c>
      <c r="M1564" s="195" t="s">
        <v>3741</v>
      </c>
      <c r="N1564" s="13">
        <v>198000</v>
      </c>
      <c r="O1564" s="10" t="s">
        <v>35</v>
      </c>
      <c r="P1564" s="248">
        <v>10350000</v>
      </c>
      <c r="Q1564" s="195" t="s">
        <v>3742</v>
      </c>
      <c r="R1564" s="250">
        <v>99000</v>
      </c>
      <c r="S1564" s="10" t="s">
        <v>35</v>
      </c>
      <c r="T1564" s="248">
        <v>5400000</v>
      </c>
      <c r="U1564" s="10"/>
      <c r="V1564" s="10" t="s">
        <v>52</v>
      </c>
      <c r="W1564" s="10"/>
      <c r="X1564" s="10"/>
      <c r="Y1564" s="21" t="s">
        <v>3005</v>
      </c>
      <c r="Z1564" s="10"/>
      <c r="AA1564" s="10"/>
      <c r="AB1564" s="10"/>
      <c r="AC1564" s="10" t="s">
        <v>3743</v>
      </c>
      <c r="AD1564" s="32"/>
      <c r="AF1564" s="174"/>
    </row>
    <row r="1565" spans="1:84" s="173" customFormat="1" ht="30" x14ac:dyDescent="0.35">
      <c r="A1565" s="17" t="s">
        <v>3921</v>
      </c>
      <c r="B1565" s="17" t="s">
        <v>45</v>
      </c>
      <c r="C1565" s="17">
        <v>2025</v>
      </c>
      <c r="D1565" s="17" t="str">
        <f t="array" ref="D1565">_xlfn.SWITCH(E1565,"Bagor","35.18.14","Sukomoro",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65" s="10" t="s">
        <v>157</v>
      </c>
      <c r="F1565" s="17" t="s">
        <v>3744</v>
      </c>
      <c r="G1565" s="224" t="s">
        <v>3745</v>
      </c>
      <c r="H1565" s="10" t="s">
        <v>991</v>
      </c>
      <c r="I1565" s="16">
        <v>6</v>
      </c>
      <c r="J1565" s="16">
        <v>1</v>
      </c>
      <c r="K1565" s="10">
        <v>7</v>
      </c>
      <c r="L1565" s="13">
        <v>20000000</v>
      </c>
      <c r="M1565" s="195" t="s">
        <v>3746</v>
      </c>
      <c r="N1565" s="13">
        <v>100</v>
      </c>
      <c r="O1565" s="10" t="s">
        <v>1049</v>
      </c>
      <c r="P1565" s="248">
        <v>7800000</v>
      </c>
      <c r="Q1565" s="224" t="s">
        <v>3747</v>
      </c>
      <c r="R1565" s="250">
        <v>56</v>
      </c>
      <c r="S1565" s="10" t="s">
        <v>143</v>
      </c>
      <c r="T1565" s="248">
        <v>1120000</v>
      </c>
      <c r="U1565" s="10"/>
      <c r="V1565" s="10"/>
      <c r="W1565" s="10"/>
      <c r="X1565" s="10"/>
      <c r="Y1565" s="21" t="s">
        <v>3005</v>
      </c>
      <c r="Z1565" s="10"/>
      <c r="AA1565" s="10"/>
      <c r="AB1565" s="10"/>
      <c r="AC1565" s="10" t="s">
        <v>3748</v>
      </c>
      <c r="AD1565" s="32"/>
      <c r="AF1565" s="174"/>
    </row>
    <row r="1566" spans="1:84" s="224" customFormat="1" ht="60" x14ac:dyDescent="0.35">
      <c r="A1566" s="17" t="s">
        <v>3921</v>
      </c>
      <c r="B1566" s="17" t="s">
        <v>45</v>
      </c>
      <c r="C1566" s="17">
        <v>2025</v>
      </c>
      <c r="D1566" s="17" t="str">
        <f t="array" ref="D1566">_xlfn.SWITCH(E1566,"Bagor","35.18.14","Sukomoro",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566" s="10" t="s">
        <v>140</v>
      </c>
      <c r="F1566" s="17" t="s">
        <v>3749</v>
      </c>
      <c r="G1566" s="195" t="s">
        <v>3750</v>
      </c>
      <c r="H1566" s="10" t="s">
        <v>991</v>
      </c>
      <c r="I1566" s="16">
        <v>31</v>
      </c>
      <c r="J1566" s="16">
        <v>37</v>
      </c>
      <c r="K1566" s="10">
        <v>68</v>
      </c>
      <c r="L1566" s="265">
        <v>103204863632</v>
      </c>
      <c r="M1566" s="17" t="s">
        <v>3751</v>
      </c>
      <c r="N1566" s="14">
        <v>1274</v>
      </c>
      <c r="O1566" s="10" t="s">
        <v>1459</v>
      </c>
      <c r="P1566" s="14">
        <v>41726783580</v>
      </c>
      <c r="Q1566" s="195" t="s">
        <v>3752</v>
      </c>
      <c r="R1566" s="209">
        <v>2000</v>
      </c>
      <c r="S1566" s="10" t="s">
        <v>3275</v>
      </c>
      <c r="T1566" s="14">
        <v>29132890256</v>
      </c>
      <c r="U1566" s="10"/>
      <c r="V1566" s="16" t="s">
        <v>3688</v>
      </c>
      <c r="W1566" s="10">
        <v>4.3659999999999997</v>
      </c>
      <c r="X1566" s="10" t="s">
        <v>143</v>
      </c>
      <c r="Y1566" s="246" t="s">
        <v>3005</v>
      </c>
      <c r="Z1566" s="10"/>
      <c r="AA1566" s="10"/>
      <c r="AB1566" s="10"/>
      <c r="AC1566" s="253" t="s">
        <v>3753</v>
      </c>
      <c r="AD1566" s="10"/>
      <c r="AE1566" s="254"/>
      <c r="AF1566" s="174"/>
      <c r="AG1566" s="173"/>
      <c r="AH1566" s="173"/>
      <c r="AI1566" s="173"/>
      <c r="AJ1566" s="173"/>
      <c r="AK1566" s="173"/>
      <c r="AL1566" s="173"/>
      <c r="AM1566" s="173"/>
      <c r="AN1566" s="173"/>
      <c r="AO1566" s="173"/>
      <c r="AP1566" s="173"/>
      <c r="AQ1566" s="173"/>
      <c r="AR1566" s="173"/>
      <c r="AS1566" s="173"/>
      <c r="AT1566" s="173"/>
      <c r="AU1566" s="173"/>
      <c r="AV1566" s="173"/>
      <c r="AW1566" s="173"/>
      <c r="AX1566" s="173"/>
      <c r="AY1566" s="173"/>
      <c r="AZ1566" s="173"/>
      <c r="BA1566" s="173"/>
      <c r="BB1566" s="173"/>
      <c r="BC1566" s="173"/>
      <c r="BD1566" s="173"/>
      <c r="BE1566" s="173"/>
      <c r="BF1566" s="173"/>
      <c r="BG1566" s="173"/>
      <c r="BH1566" s="173"/>
      <c r="BI1566" s="173"/>
      <c r="BJ1566" s="173"/>
      <c r="BK1566" s="173"/>
      <c r="BL1566" s="173"/>
      <c r="BM1566" s="173"/>
      <c r="BN1566" s="173"/>
      <c r="BO1566" s="173"/>
      <c r="BP1566" s="173"/>
      <c r="BQ1566" s="173"/>
      <c r="BR1566" s="173"/>
      <c r="BS1566" s="173"/>
      <c r="BT1566" s="173"/>
      <c r="BU1566" s="173"/>
      <c r="BV1566" s="173"/>
      <c r="BW1566" s="173"/>
      <c r="BX1566" s="173"/>
      <c r="BY1566" s="173"/>
      <c r="BZ1566" s="173"/>
      <c r="CA1566" s="173"/>
      <c r="CB1566" s="173"/>
      <c r="CC1566" s="173"/>
      <c r="CD1566" s="173"/>
      <c r="CE1566" s="173"/>
      <c r="CF1566" s="173"/>
    </row>
    <row r="1567" spans="1:84" s="173" customFormat="1" ht="30" x14ac:dyDescent="0.35">
      <c r="A1567" s="17" t="s">
        <v>3921</v>
      </c>
      <c r="B1567" s="17" t="s">
        <v>45</v>
      </c>
      <c r="C1567" s="17">
        <v>2025</v>
      </c>
      <c r="D1567" s="17" t="str">
        <f t="array" ref="D1567">_xlfn.SWITCH(E1567,"Bagor","35.18.14","Sukomoro",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67" s="10" t="s">
        <v>157</v>
      </c>
      <c r="F1567" s="17" t="s">
        <v>3754</v>
      </c>
      <c r="G1567" s="224" t="s">
        <v>3755</v>
      </c>
      <c r="H1567" s="10" t="s">
        <v>31</v>
      </c>
      <c r="I1567" s="16">
        <v>6</v>
      </c>
      <c r="J1567" s="16">
        <v>10</v>
      </c>
      <c r="K1567" s="10">
        <v>16</v>
      </c>
      <c r="L1567" s="265">
        <v>300000000</v>
      </c>
      <c r="M1567" s="195" t="s">
        <v>3756</v>
      </c>
      <c r="N1567" s="13">
        <v>17000</v>
      </c>
      <c r="O1567" s="10" t="s">
        <v>35</v>
      </c>
      <c r="P1567" s="248">
        <v>500000000</v>
      </c>
      <c r="Q1567" s="195" t="s">
        <v>2707</v>
      </c>
      <c r="R1567" s="250">
        <v>25000</v>
      </c>
      <c r="S1567" s="10" t="s">
        <v>35</v>
      </c>
      <c r="T1567" s="248">
        <v>200000000</v>
      </c>
      <c r="U1567" s="10"/>
      <c r="V1567" s="10"/>
      <c r="W1567" s="10"/>
      <c r="X1567" s="10"/>
      <c r="Y1567" s="21" t="s">
        <v>3005</v>
      </c>
      <c r="Z1567" s="10"/>
      <c r="AA1567" s="10"/>
      <c r="AB1567" s="10"/>
      <c r="AC1567" s="10" t="s">
        <v>3757</v>
      </c>
      <c r="AD1567" s="32"/>
      <c r="AF1567" s="174"/>
    </row>
    <row r="1568" spans="1:84" ht="30" x14ac:dyDescent="0.2">
      <c r="A1568" s="17" t="s">
        <v>3921</v>
      </c>
      <c r="B1568" s="17" t="s">
        <v>45</v>
      </c>
      <c r="C1568" s="17">
        <v>2025</v>
      </c>
      <c r="D1568" s="17" t="str">
        <f t="array" ref="D1568">_xlfn.SWITCH(E1568,"Jatikalen","35.18.20","Kertosono", "35.18.08","Lengkong","35.18.19","Loceret","35.18.04","Tanjunganom","35.18.11","Wilangan","35.18.15")</f>
        <v>35.18.20</v>
      </c>
      <c r="E1568" s="10" t="s">
        <v>1083</v>
      </c>
      <c r="F1568" s="17" t="s">
        <v>3758</v>
      </c>
      <c r="G1568" s="224" t="s">
        <v>3759</v>
      </c>
      <c r="H1568" s="10" t="s">
        <v>31</v>
      </c>
      <c r="I1568" s="16">
        <v>4</v>
      </c>
      <c r="J1568" s="16">
        <v>6</v>
      </c>
      <c r="K1568" s="10">
        <v>10</v>
      </c>
      <c r="L1568" s="265">
        <v>150000000</v>
      </c>
      <c r="M1568" s="17" t="s">
        <v>3760</v>
      </c>
      <c r="N1568" s="13">
        <v>125</v>
      </c>
      <c r="O1568" s="10" t="s">
        <v>962</v>
      </c>
      <c r="P1568" s="248">
        <v>312000000</v>
      </c>
      <c r="Q1568" s="195" t="s">
        <v>826</v>
      </c>
      <c r="R1568" s="250">
        <v>105</v>
      </c>
      <c r="S1568" s="10" t="s">
        <v>962</v>
      </c>
      <c r="T1568" s="248">
        <f>1000000*R1568</f>
        <v>105000000</v>
      </c>
      <c r="U1568" s="20" t="s">
        <v>22</v>
      </c>
      <c r="V1568" s="10"/>
      <c r="W1568" s="10"/>
      <c r="X1568" s="10"/>
      <c r="Y1568" s="21" t="s">
        <v>3005</v>
      </c>
      <c r="Z1568" s="10"/>
      <c r="AA1568" s="10"/>
      <c r="AB1568" s="10"/>
      <c r="AC1568" s="10" t="s">
        <v>3761</v>
      </c>
    </row>
    <row r="1569" spans="1:84" ht="30" x14ac:dyDescent="0.2">
      <c r="A1569" s="17" t="s">
        <v>3921</v>
      </c>
      <c r="B1569" s="17" t="s">
        <v>45</v>
      </c>
      <c r="C1569" s="17">
        <v>2025</v>
      </c>
      <c r="D1569" s="17" t="str">
        <f t="array" ref="D1569">_xlfn.SWITCH(E1569,"Bagor","35.18.14","Sukomoro",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69" s="10" t="s">
        <v>157</v>
      </c>
      <c r="F1569" s="17" t="s">
        <v>3762</v>
      </c>
      <c r="G1569" s="224" t="s">
        <v>3763</v>
      </c>
      <c r="H1569" s="10" t="s">
        <v>31</v>
      </c>
      <c r="I1569" s="16">
        <v>0</v>
      </c>
      <c r="J1569" s="16">
        <v>2</v>
      </c>
      <c r="K1569" s="10">
        <v>2</v>
      </c>
      <c r="L1569" s="265">
        <v>2000000</v>
      </c>
      <c r="M1569" s="17" t="s">
        <v>2520</v>
      </c>
      <c r="N1569" s="13">
        <v>110</v>
      </c>
      <c r="O1569" s="10" t="s">
        <v>422</v>
      </c>
      <c r="P1569" s="248">
        <v>8000000</v>
      </c>
      <c r="Q1569" s="195" t="s">
        <v>2434</v>
      </c>
      <c r="R1569" s="250">
        <v>20</v>
      </c>
      <c r="S1569" s="10" t="s">
        <v>422</v>
      </c>
      <c r="T1569" s="248">
        <f>R1569*120000</f>
        <v>2400000</v>
      </c>
      <c r="U1569" s="20" t="s">
        <v>22</v>
      </c>
      <c r="V1569" s="10"/>
      <c r="W1569" s="10"/>
      <c r="X1569" s="10"/>
      <c r="Y1569" s="21" t="s">
        <v>3005</v>
      </c>
      <c r="Z1569" s="10"/>
      <c r="AA1569" s="10"/>
      <c r="AB1569" s="10"/>
      <c r="AC1569" s="10" t="s">
        <v>3764</v>
      </c>
      <c r="AD1569" s="2"/>
      <c r="AF1569" s="1"/>
    </row>
    <row r="1570" spans="1:84" ht="50" x14ac:dyDescent="0.2">
      <c r="A1570" s="17" t="s">
        <v>3921</v>
      </c>
      <c r="B1570" s="17" t="s">
        <v>45</v>
      </c>
      <c r="C1570" s="17">
        <v>2025</v>
      </c>
      <c r="D1570" s="17" t="str">
        <f t="array" ref="D1570">_xlfn.SWITCH(E1570,"Jatikalen","35.18.20","Kertosono", "35.18.08","Lengkong","35.18.19","Loceret","35.18.04","Tanjunganom","35.18.11","Wilangan","35.18.15")</f>
        <v>35.18.08</v>
      </c>
      <c r="E1570" s="10" t="s">
        <v>128</v>
      </c>
      <c r="F1570" s="17" t="s">
        <v>3765</v>
      </c>
      <c r="G1570" s="224" t="s">
        <v>3766</v>
      </c>
      <c r="H1570" s="10" t="s">
        <v>31</v>
      </c>
      <c r="I1570" s="16">
        <v>2</v>
      </c>
      <c r="J1570" s="16">
        <v>3</v>
      </c>
      <c r="K1570" s="10">
        <v>5</v>
      </c>
      <c r="L1570" s="265">
        <v>5000000</v>
      </c>
      <c r="M1570" s="17" t="s">
        <v>3767</v>
      </c>
      <c r="N1570" s="13">
        <v>45</v>
      </c>
      <c r="O1570" s="10" t="s">
        <v>83</v>
      </c>
      <c r="P1570" s="248">
        <v>26000000</v>
      </c>
      <c r="Q1570" s="195" t="s">
        <v>826</v>
      </c>
      <c r="R1570" s="250">
        <v>112</v>
      </c>
      <c r="S1570" s="10" t="s">
        <v>83</v>
      </c>
      <c r="T1570" s="248">
        <f>R1570*100000</f>
        <v>11200000</v>
      </c>
      <c r="U1570" s="20" t="s">
        <v>22</v>
      </c>
      <c r="V1570" s="10"/>
      <c r="W1570" s="10"/>
      <c r="X1570" s="10"/>
      <c r="Y1570" s="21" t="s">
        <v>3005</v>
      </c>
      <c r="Z1570" s="10"/>
      <c r="AA1570" s="10"/>
      <c r="AB1570" s="10"/>
      <c r="AC1570" s="10" t="s">
        <v>3768</v>
      </c>
      <c r="AD1570" s="2"/>
      <c r="AF1570" s="1"/>
    </row>
    <row r="1571" spans="1:84" ht="40" x14ac:dyDescent="0.2">
      <c r="A1571" s="17" t="s">
        <v>3921</v>
      </c>
      <c r="B1571" s="17" t="s">
        <v>45</v>
      </c>
      <c r="C1571" s="17">
        <v>2025</v>
      </c>
      <c r="D1571" s="17" t="str">
        <f t="array" ref="D1571">_xlfn.SWITCH(E1571,"Bagor","35.18.14","Sukomoro",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71" s="10" t="s">
        <v>157</v>
      </c>
      <c r="F1571" s="17" t="s">
        <v>3769</v>
      </c>
      <c r="G1571" s="17" t="s">
        <v>3770</v>
      </c>
      <c r="H1571" s="10" t="s">
        <v>81</v>
      </c>
      <c r="I1571" s="16">
        <v>4</v>
      </c>
      <c r="J1571" s="16">
        <v>2</v>
      </c>
      <c r="K1571" s="10">
        <v>6</v>
      </c>
      <c r="L1571" s="265">
        <v>25000000</v>
      </c>
      <c r="M1571" s="17" t="s">
        <v>3771</v>
      </c>
      <c r="N1571" s="13">
        <v>500</v>
      </c>
      <c r="O1571" s="10" t="s">
        <v>3645</v>
      </c>
      <c r="P1571" s="248">
        <f>N1571*250000</f>
        <v>125000000</v>
      </c>
      <c r="Q1571" s="195" t="s">
        <v>1468</v>
      </c>
      <c r="R1571" s="250">
        <v>750</v>
      </c>
      <c r="S1571" s="10" t="s">
        <v>1672</v>
      </c>
      <c r="T1571" s="248">
        <f>R1571*85000</f>
        <v>63750000</v>
      </c>
      <c r="U1571" s="20" t="s">
        <v>22</v>
      </c>
      <c r="V1571" s="10"/>
      <c r="W1571" s="10"/>
      <c r="X1571" s="10"/>
      <c r="Y1571" s="21" t="s">
        <v>3005</v>
      </c>
      <c r="Z1571" s="10"/>
      <c r="AA1571" s="10"/>
      <c r="AB1571" s="10"/>
      <c r="AC1571" s="10" t="s">
        <v>3772</v>
      </c>
      <c r="AD1571" s="2"/>
      <c r="AF1571" s="1"/>
    </row>
    <row r="1572" spans="1:84" s="224" customFormat="1" ht="50" x14ac:dyDescent="0.35">
      <c r="A1572" s="17" t="s">
        <v>3921</v>
      </c>
      <c r="B1572" s="17" t="s">
        <v>45</v>
      </c>
      <c r="C1572" s="17">
        <v>2025</v>
      </c>
      <c r="D1572" s="17" t="str">
        <f t="array" ref="D1572">_xlfn.SWITCH(E1572,"Bagor","35.18.14","Sukomoro",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572" s="10" t="s">
        <v>92</v>
      </c>
      <c r="F1572" s="17" t="s">
        <v>3773</v>
      </c>
      <c r="G1572" s="17" t="s">
        <v>3774</v>
      </c>
      <c r="H1572" s="10" t="s">
        <v>991</v>
      </c>
      <c r="I1572" s="16">
        <v>64</v>
      </c>
      <c r="J1572" s="16">
        <v>105</v>
      </c>
      <c r="K1572" s="10">
        <v>169</v>
      </c>
      <c r="L1572" s="265">
        <v>117733473275</v>
      </c>
      <c r="M1572" s="17" t="s">
        <v>3775</v>
      </c>
      <c r="N1572" s="249">
        <v>20198</v>
      </c>
      <c r="O1572" s="10" t="s">
        <v>962</v>
      </c>
      <c r="P1572" s="256">
        <v>157410000000</v>
      </c>
      <c r="Q1572" s="195" t="s">
        <v>3776</v>
      </c>
      <c r="R1572" s="258" t="s">
        <v>3777</v>
      </c>
      <c r="S1572" s="255" t="s">
        <v>35</v>
      </c>
      <c r="T1572" s="259" t="s">
        <v>3778</v>
      </c>
      <c r="U1572" s="10"/>
      <c r="V1572" s="33" t="s">
        <v>3779</v>
      </c>
      <c r="W1572" s="32" t="s">
        <v>3780</v>
      </c>
      <c r="X1572" s="10" t="s">
        <v>143</v>
      </c>
      <c r="Y1572" s="246" t="s">
        <v>3005</v>
      </c>
      <c r="Z1572" s="10"/>
      <c r="AA1572" s="10"/>
      <c r="AB1572" s="10"/>
      <c r="AC1572" s="253" t="s">
        <v>3781</v>
      </c>
      <c r="AD1572" s="10"/>
      <c r="AE1572" s="254"/>
      <c r="AF1572" s="174"/>
      <c r="AG1572" s="173"/>
      <c r="AH1572" s="173"/>
      <c r="AI1572" s="173"/>
      <c r="AJ1572" s="173"/>
      <c r="AK1572" s="173"/>
      <c r="AL1572" s="173"/>
      <c r="AM1572" s="173"/>
      <c r="AN1572" s="173"/>
      <c r="AO1572" s="173"/>
      <c r="AP1572" s="173"/>
      <c r="AQ1572" s="173"/>
      <c r="AR1572" s="173"/>
      <c r="AS1572" s="173"/>
      <c r="AT1572" s="173"/>
      <c r="AU1572" s="173"/>
      <c r="AV1572" s="173"/>
      <c r="AW1572" s="173"/>
      <c r="AX1572" s="173"/>
      <c r="AY1572" s="173"/>
      <c r="AZ1572" s="173"/>
      <c r="BA1572" s="173"/>
      <c r="BB1572" s="173"/>
      <c r="BC1572" s="173"/>
      <c r="BD1572" s="173"/>
      <c r="BE1572" s="173"/>
      <c r="BF1572" s="173"/>
      <c r="BG1572" s="173"/>
      <c r="BH1572" s="173"/>
      <c r="BI1572" s="173"/>
      <c r="BJ1572" s="173"/>
      <c r="BK1572" s="173"/>
      <c r="BL1572" s="173"/>
      <c r="BM1572" s="173"/>
      <c r="BN1572" s="173"/>
      <c r="BO1572" s="173"/>
      <c r="BP1572" s="173"/>
      <c r="BQ1572" s="173"/>
      <c r="BR1572" s="173"/>
      <c r="BS1572" s="173"/>
      <c r="BT1572" s="173"/>
      <c r="BU1572" s="173"/>
      <c r="BV1572" s="173"/>
      <c r="BW1572" s="173"/>
      <c r="BX1572" s="173"/>
      <c r="BY1572" s="173"/>
      <c r="BZ1572" s="173"/>
      <c r="CA1572" s="173"/>
      <c r="CB1572" s="173"/>
      <c r="CC1572" s="173"/>
      <c r="CD1572" s="173"/>
      <c r="CE1572" s="173"/>
      <c r="CF1572" s="173"/>
    </row>
    <row r="1573" spans="1:84" s="224" customFormat="1" ht="40" x14ac:dyDescent="0.35">
      <c r="A1573" s="17" t="s">
        <v>3921</v>
      </c>
      <c r="B1573" s="17" t="s">
        <v>45</v>
      </c>
      <c r="C1573" s="17">
        <v>2025</v>
      </c>
      <c r="D1573" s="17" t="str">
        <f t="array" ref="D1573">_xlfn.SWITCH(E1573,"Bagor","35.18.14","Sukomoro",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573" s="10" t="s">
        <v>92</v>
      </c>
      <c r="F1573" s="17" t="s">
        <v>3782</v>
      </c>
      <c r="G1573" s="195" t="s">
        <v>3783</v>
      </c>
      <c r="H1573" s="10" t="s">
        <v>991</v>
      </c>
      <c r="I1573" s="16">
        <v>56</v>
      </c>
      <c r="J1573" s="16">
        <v>80</v>
      </c>
      <c r="K1573" s="10">
        <v>136</v>
      </c>
      <c r="L1573" s="265">
        <v>77243710410</v>
      </c>
      <c r="M1573" s="17" t="s">
        <v>3784</v>
      </c>
      <c r="N1573" s="13">
        <v>5056274</v>
      </c>
      <c r="O1573" s="10" t="s">
        <v>35</v>
      </c>
      <c r="P1573" s="248">
        <v>79239712588</v>
      </c>
      <c r="Q1573" s="195" t="s">
        <v>446</v>
      </c>
      <c r="R1573" s="189">
        <v>5889150</v>
      </c>
      <c r="S1573" s="255" t="s">
        <v>35</v>
      </c>
      <c r="T1573" s="189">
        <v>56170107006</v>
      </c>
      <c r="U1573" s="10"/>
      <c r="V1573" s="16" t="s">
        <v>3688</v>
      </c>
      <c r="W1573" s="32" t="s">
        <v>3780</v>
      </c>
      <c r="X1573" s="10" t="s">
        <v>143</v>
      </c>
      <c r="Y1573" s="246" t="s">
        <v>3005</v>
      </c>
      <c r="Z1573" s="10"/>
      <c r="AA1573" s="10"/>
      <c r="AB1573" s="10"/>
      <c r="AC1573" s="253" t="s">
        <v>3785</v>
      </c>
      <c r="AD1573" s="10"/>
      <c r="AE1573" s="254"/>
      <c r="AF1573" s="174"/>
      <c r="AG1573" s="173"/>
      <c r="AH1573" s="173"/>
      <c r="AI1573" s="173"/>
      <c r="AJ1573" s="173"/>
      <c r="AK1573" s="173"/>
      <c r="AL1573" s="173"/>
      <c r="AM1573" s="173"/>
      <c r="AN1573" s="173"/>
      <c r="AO1573" s="173"/>
      <c r="AP1573" s="173"/>
      <c r="AQ1573" s="173"/>
      <c r="AR1573" s="173"/>
      <c r="AS1573" s="173"/>
      <c r="AT1573" s="173"/>
      <c r="AU1573" s="173"/>
      <c r="AV1573" s="173"/>
      <c r="AW1573" s="173"/>
      <c r="AX1573" s="173"/>
      <c r="AY1573" s="173"/>
      <c r="AZ1573" s="173"/>
      <c r="BA1573" s="173"/>
      <c r="BB1573" s="173"/>
      <c r="BC1573" s="173"/>
      <c r="BD1573" s="173"/>
      <c r="BE1573" s="173"/>
      <c r="BF1573" s="173"/>
      <c r="BG1573" s="173"/>
      <c r="BH1573" s="173"/>
      <c r="BI1573" s="173"/>
      <c r="BJ1573" s="173"/>
      <c r="BK1573" s="173"/>
      <c r="BL1573" s="173"/>
      <c r="BM1573" s="173"/>
      <c r="BN1573" s="173"/>
      <c r="BO1573" s="173"/>
      <c r="BP1573" s="173"/>
      <c r="BQ1573" s="173"/>
      <c r="BR1573" s="173"/>
      <c r="BS1573" s="173"/>
      <c r="BT1573" s="173"/>
      <c r="BU1573" s="173"/>
      <c r="BV1573" s="173"/>
      <c r="BW1573" s="173"/>
      <c r="BX1573" s="173"/>
      <c r="BY1573" s="173"/>
      <c r="BZ1573" s="173"/>
      <c r="CA1573" s="173"/>
      <c r="CB1573" s="173"/>
      <c r="CC1573" s="173"/>
      <c r="CD1573" s="173"/>
      <c r="CE1573" s="173"/>
      <c r="CF1573" s="173"/>
    </row>
    <row r="1574" spans="1:84" s="224" customFormat="1" ht="30" x14ac:dyDescent="0.35">
      <c r="A1574" s="17" t="s">
        <v>3921</v>
      </c>
      <c r="B1574" s="17" t="s">
        <v>45</v>
      </c>
      <c r="C1574" s="17">
        <v>2025</v>
      </c>
      <c r="D1574" s="17" t="str">
        <f t="array" ref="D1574">_xlfn.SWITCH(E1574,"Bagor","35.18.14","Sukomoro",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574" s="10" t="s">
        <v>71</v>
      </c>
      <c r="F1574" s="17" t="s">
        <v>3786</v>
      </c>
      <c r="G1574" s="195" t="s">
        <v>3787</v>
      </c>
      <c r="H1574" s="10" t="s">
        <v>81</v>
      </c>
      <c r="I1574" s="16">
        <v>20</v>
      </c>
      <c r="J1574" s="16">
        <v>7</v>
      </c>
      <c r="K1574" s="10">
        <v>27</v>
      </c>
      <c r="L1574" s="13">
        <v>10500000000</v>
      </c>
      <c r="M1574" s="41" t="s">
        <v>3627</v>
      </c>
      <c r="N1574" s="14">
        <v>30000</v>
      </c>
      <c r="O1574" s="10" t="s">
        <v>35</v>
      </c>
      <c r="P1574" s="14">
        <v>16000000000</v>
      </c>
      <c r="Q1574" s="195" t="s">
        <v>1707</v>
      </c>
      <c r="R1574" s="209">
        <v>30000</v>
      </c>
      <c r="S1574" s="10" t="s">
        <v>35</v>
      </c>
      <c r="T1574" s="13">
        <v>12200000000</v>
      </c>
      <c r="U1574" s="10"/>
      <c r="V1574" s="10"/>
      <c r="W1574" s="10"/>
      <c r="X1574" s="10"/>
      <c r="Y1574" s="246" t="s">
        <v>3005</v>
      </c>
      <c r="Z1574" s="10"/>
      <c r="AA1574" s="10"/>
      <c r="AB1574" s="10"/>
      <c r="AC1574" s="253" t="s">
        <v>3788</v>
      </c>
      <c r="AD1574" s="10"/>
      <c r="AE1574" s="254"/>
      <c r="AF1574" s="174"/>
      <c r="AG1574" s="173"/>
      <c r="AH1574" s="173"/>
      <c r="AI1574" s="173"/>
      <c r="AJ1574" s="173"/>
      <c r="AK1574" s="173"/>
      <c r="AL1574" s="173"/>
      <c r="AM1574" s="173"/>
      <c r="AN1574" s="173"/>
      <c r="AO1574" s="173"/>
      <c r="AP1574" s="173"/>
      <c r="AQ1574" s="173"/>
      <c r="AR1574" s="173"/>
      <c r="AS1574" s="173"/>
      <c r="AT1574" s="173"/>
      <c r="AU1574" s="173"/>
      <c r="AV1574" s="173"/>
      <c r="AW1574" s="173"/>
      <c r="AX1574" s="173"/>
      <c r="AY1574" s="173"/>
      <c r="AZ1574" s="173"/>
      <c r="BA1574" s="173"/>
      <c r="BB1574" s="173"/>
      <c r="BC1574" s="173"/>
      <c r="BD1574" s="173"/>
      <c r="BE1574" s="173"/>
      <c r="BF1574" s="173"/>
      <c r="BG1574" s="173"/>
      <c r="BH1574" s="173"/>
      <c r="BI1574" s="173"/>
      <c r="BJ1574" s="173"/>
      <c r="BK1574" s="173"/>
      <c r="BL1574" s="173"/>
      <c r="BM1574" s="173"/>
      <c r="BN1574" s="173"/>
      <c r="BO1574" s="173"/>
      <c r="BP1574" s="173"/>
      <c r="BQ1574" s="173"/>
      <c r="BR1574" s="173"/>
      <c r="BS1574" s="173"/>
      <c r="BT1574" s="173"/>
      <c r="BU1574" s="173"/>
      <c r="BV1574" s="173"/>
      <c r="BW1574" s="173"/>
      <c r="BX1574" s="173"/>
      <c r="BY1574" s="173"/>
      <c r="BZ1574" s="173"/>
      <c r="CA1574" s="173"/>
      <c r="CB1574" s="173"/>
      <c r="CC1574" s="173"/>
      <c r="CD1574" s="173"/>
      <c r="CE1574" s="173"/>
      <c r="CF1574" s="173"/>
    </row>
    <row r="1575" spans="1:84" s="224" customFormat="1" ht="40" x14ac:dyDescent="0.35">
      <c r="A1575" s="17" t="s">
        <v>3921</v>
      </c>
      <c r="B1575" s="17" t="s">
        <v>45</v>
      </c>
      <c r="C1575" s="17">
        <v>2025</v>
      </c>
      <c r="D1575" s="17" t="str">
        <f t="array" ref="D1575">_xlfn.SWITCH(E1575,"Jatikalen","35.18.20","Kertosono", "35.18.08","Lengkong","35.18.19","Loceret","35.18.04","Tanjunganom","35.18.11","Wilangan","35.18.15")</f>
        <v>35.18.19</v>
      </c>
      <c r="E1575" s="10" t="s">
        <v>64</v>
      </c>
      <c r="F1575" s="17" t="s">
        <v>3789</v>
      </c>
      <c r="G1575" s="17" t="s">
        <v>3790</v>
      </c>
      <c r="H1575" s="10" t="s">
        <v>81</v>
      </c>
      <c r="I1575" s="16">
        <v>31</v>
      </c>
      <c r="J1575" s="16">
        <v>55</v>
      </c>
      <c r="K1575" s="10">
        <v>86</v>
      </c>
      <c r="L1575" s="262">
        <v>13125017013</v>
      </c>
      <c r="M1575" s="17" t="s">
        <v>3791</v>
      </c>
      <c r="N1575" s="13">
        <v>578437</v>
      </c>
      <c r="O1575" s="10" t="s">
        <v>3275</v>
      </c>
      <c r="P1575" s="248">
        <v>17468817000</v>
      </c>
      <c r="Q1575" s="17" t="s">
        <v>3792</v>
      </c>
      <c r="R1575" s="259" t="s">
        <v>3793</v>
      </c>
      <c r="S1575" s="10" t="s">
        <v>3645</v>
      </c>
      <c r="T1575" s="189">
        <f>967896893+1784893952+64476938+66571317+181012584+25843353+963176525+11058721+739660590+37247354</f>
        <v>4841838227</v>
      </c>
      <c r="U1575" s="10"/>
      <c r="V1575" s="10"/>
      <c r="W1575" s="10"/>
      <c r="X1575" s="10"/>
      <c r="Y1575" s="246" t="s">
        <v>3005</v>
      </c>
      <c r="Z1575" s="10"/>
      <c r="AA1575" s="10"/>
      <c r="AB1575" s="16"/>
      <c r="AC1575" s="253" t="s">
        <v>3794</v>
      </c>
      <c r="AD1575" s="10"/>
      <c r="AE1575" s="254"/>
      <c r="AF1575" s="174"/>
      <c r="AG1575" s="173"/>
      <c r="AH1575" s="173"/>
      <c r="AI1575" s="173"/>
      <c r="AJ1575" s="173"/>
      <c r="AK1575" s="173"/>
      <c r="AL1575" s="173"/>
      <c r="AM1575" s="173"/>
      <c r="AN1575" s="173"/>
      <c r="AO1575" s="173"/>
      <c r="AP1575" s="173"/>
      <c r="AQ1575" s="173"/>
      <c r="AR1575" s="173"/>
      <c r="AS1575" s="173"/>
      <c r="AT1575" s="173"/>
      <c r="AU1575" s="173"/>
      <c r="AV1575" s="173"/>
      <c r="AW1575" s="173"/>
      <c r="AX1575" s="173"/>
      <c r="AY1575" s="173"/>
      <c r="AZ1575" s="173"/>
      <c r="BA1575" s="173"/>
      <c r="BB1575" s="173"/>
      <c r="BC1575" s="173"/>
      <c r="BD1575" s="173"/>
      <c r="BE1575" s="173"/>
      <c r="BF1575" s="173"/>
      <c r="BG1575" s="173"/>
      <c r="BH1575" s="173"/>
      <c r="BI1575" s="173"/>
      <c r="BJ1575" s="173"/>
      <c r="BK1575" s="173"/>
      <c r="BL1575" s="173"/>
      <c r="BM1575" s="173"/>
      <c r="BN1575" s="173"/>
      <c r="BO1575" s="173"/>
      <c r="BP1575" s="173"/>
      <c r="BQ1575" s="173"/>
      <c r="BR1575" s="173"/>
      <c r="BS1575" s="173"/>
      <c r="BT1575" s="173"/>
      <c r="BU1575" s="173"/>
      <c r="BV1575" s="173"/>
      <c r="BW1575" s="173"/>
      <c r="BX1575" s="173"/>
      <c r="BY1575" s="173"/>
      <c r="BZ1575" s="173"/>
      <c r="CA1575" s="173"/>
      <c r="CB1575" s="173"/>
      <c r="CC1575" s="173"/>
      <c r="CD1575" s="173"/>
      <c r="CE1575" s="173"/>
      <c r="CF1575" s="173"/>
    </row>
    <row r="1576" spans="1:84" s="224" customFormat="1" ht="50" x14ac:dyDescent="0.35">
      <c r="A1576" s="17" t="s">
        <v>3921</v>
      </c>
      <c r="B1576" s="17" t="s">
        <v>45</v>
      </c>
      <c r="C1576" s="17">
        <v>2025</v>
      </c>
      <c r="D1576" s="17" t="str">
        <f t="array" ref="D1576">_xlfn.SWITCH(E1576,"Bagor","35.18.14","Sukomoro",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576" s="10" t="s">
        <v>92</v>
      </c>
      <c r="F1576" s="17" t="s">
        <v>3795</v>
      </c>
      <c r="G1576" s="195" t="s">
        <v>3796</v>
      </c>
      <c r="H1576" s="10" t="s">
        <v>991</v>
      </c>
      <c r="I1576" s="16">
        <v>40</v>
      </c>
      <c r="J1576" s="16">
        <v>27</v>
      </c>
      <c r="K1576" s="10">
        <v>67</v>
      </c>
      <c r="L1576" s="265">
        <v>22834024505</v>
      </c>
      <c r="M1576" s="17" t="s">
        <v>3797</v>
      </c>
      <c r="N1576" s="13">
        <v>3924000</v>
      </c>
      <c r="O1576" s="10" t="s">
        <v>3275</v>
      </c>
      <c r="P1576" s="248">
        <f>8338337845+7063284727+339192856</f>
        <v>15740815428</v>
      </c>
      <c r="Q1576" s="195" t="s">
        <v>2089</v>
      </c>
      <c r="R1576" s="209">
        <v>33475</v>
      </c>
      <c r="S1576" s="16" t="s">
        <v>3288</v>
      </c>
      <c r="T1576" s="13">
        <v>6507835000</v>
      </c>
      <c r="U1576" s="10"/>
      <c r="W1576" s="10"/>
      <c r="X1576" s="10"/>
      <c r="Y1576" s="246" t="s">
        <v>3005</v>
      </c>
      <c r="Z1576" s="10"/>
      <c r="AA1576" s="10"/>
      <c r="AB1576" s="10"/>
      <c r="AC1576" s="253" t="s">
        <v>3798</v>
      </c>
      <c r="AD1576" s="10"/>
      <c r="AE1576" s="254"/>
      <c r="AF1576" s="174"/>
      <c r="AG1576" s="173"/>
      <c r="AH1576" s="173"/>
      <c r="AI1576" s="173"/>
      <c r="AJ1576" s="173"/>
      <c r="AK1576" s="173"/>
      <c r="AL1576" s="173"/>
      <c r="AM1576" s="173"/>
      <c r="AN1576" s="173"/>
      <c r="AO1576" s="173"/>
      <c r="AP1576" s="173"/>
      <c r="AQ1576" s="173"/>
      <c r="AR1576" s="173"/>
      <c r="AS1576" s="173"/>
      <c r="AT1576" s="173"/>
      <c r="AU1576" s="173"/>
      <c r="AV1576" s="173"/>
      <c r="AW1576" s="173"/>
      <c r="AX1576" s="173"/>
      <c r="AY1576" s="173"/>
      <c r="AZ1576" s="173"/>
      <c r="BA1576" s="173"/>
      <c r="BB1576" s="173"/>
      <c r="BC1576" s="173"/>
      <c r="BD1576" s="173"/>
      <c r="BE1576" s="173"/>
      <c r="BF1576" s="173"/>
      <c r="BG1576" s="173"/>
      <c r="BH1576" s="173"/>
      <c r="BI1576" s="173"/>
      <c r="BJ1576" s="173"/>
      <c r="BK1576" s="173"/>
      <c r="BL1576" s="173"/>
      <c r="BM1576" s="173"/>
      <c r="BN1576" s="173"/>
      <c r="BO1576" s="173"/>
      <c r="BP1576" s="173"/>
      <c r="BQ1576" s="173"/>
      <c r="BR1576" s="173"/>
      <c r="BS1576" s="173"/>
      <c r="BT1576" s="173"/>
      <c r="BU1576" s="173"/>
      <c r="BV1576" s="173"/>
      <c r="BW1576" s="173"/>
      <c r="BX1576" s="173"/>
      <c r="BY1576" s="173"/>
      <c r="BZ1576" s="173"/>
      <c r="CA1576" s="173"/>
      <c r="CB1576" s="173"/>
      <c r="CC1576" s="173"/>
      <c r="CD1576" s="173"/>
      <c r="CE1576" s="173"/>
      <c r="CF1576" s="173"/>
    </row>
    <row r="1577" spans="1:84" s="224" customFormat="1" ht="40" x14ac:dyDescent="0.35">
      <c r="A1577" s="17" t="s">
        <v>3921</v>
      </c>
      <c r="B1577" s="17" t="s">
        <v>45</v>
      </c>
      <c r="C1577" s="17">
        <v>2025</v>
      </c>
      <c r="D1577" s="17" t="str">
        <f t="array" ref="D1577">_xlfn.SWITCH(E1577,"Bagor","35.18.14","Sukomoro",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77" s="10" t="s">
        <v>157</v>
      </c>
      <c r="F1577" s="17" t="s">
        <v>3799</v>
      </c>
      <c r="G1577" s="17" t="s">
        <v>3800</v>
      </c>
      <c r="H1577" s="10" t="s">
        <v>991</v>
      </c>
      <c r="I1577" s="16">
        <v>47</v>
      </c>
      <c r="J1577" s="16">
        <v>11</v>
      </c>
      <c r="K1577" s="10">
        <v>58</v>
      </c>
      <c r="L1577" s="265">
        <v>2500000000</v>
      </c>
      <c r="M1577" s="17" t="s">
        <v>3801</v>
      </c>
      <c r="N1577" s="13">
        <v>500000</v>
      </c>
      <c r="O1577" s="10" t="s">
        <v>35</v>
      </c>
      <c r="P1577" s="248">
        <v>13292500000</v>
      </c>
      <c r="Q1577" s="17" t="s">
        <v>3802</v>
      </c>
      <c r="R1577" s="266">
        <f>128750+160375+35850+100725</f>
        <v>425700</v>
      </c>
      <c r="S1577" s="255" t="s">
        <v>35</v>
      </c>
      <c r="T1577" s="267">
        <f>2551456350+3131228100+957975770+2312602580</f>
        <v>8953262800</v>
      </c>
      <c r="U1577" s="255"/>
      <c r="V1577" s="224" t="s">
        <v>3803</v>
      </c>
      <c r="W1577" s="32">
        <v>50</v>
      </c>
      <c r="X1577" s="255" t="s">
        <v>143</v>
      </c>
      <c r="Y1577" s="246" t="s">
        <v>3005</v>
      </c>
      <c r="Z1577" s="10"/>
      <c r="AA1577" s="10"/>
      <c r="AB1577" s="10"/>
      <c r="AC1577" s="253" t="s">
        <v>3804</v>
      </c>
      <c r="AD1577" s="10"/>
      <c r="AE1577" s="254"/>
      <c r="AF1577" s="174"/>
      <c r="AG1577" s="173"/>
      <c r="AH1577" s="173"/>
      <c r="AI1577" s="173"/>
      <c r="AJ1577" s="173"/>
      <c r="AK1577" s="173"/>
      <c r="AL1577" s="173"/>
      <c r="AM1577" s="173"/>
      <c r="AN1577" s="173"/>
      <c r="AO1577" s="173"/>
      <c r="AP1577" s="173"/>
      <c r="AQ1577" s="173"/>
      <c r="AR1577" s="173"/>
      <c r="AS1577" s="173"/>
      <c r="AT1577" s="173"/>
      <c r="AU1577" s="173"/>
      <c r="AV1577" s="173"/>
      <c r="AW1577" s="173"/>
      <c r="AX1577" s="173"/>
      <c r="AY1577" s="173"/>
      <c r="AZ1577" s="173"/>
      <c r="BA1577" s="173"/>
      <c r="BB1577" s="173"/>
      <c r="BC1577" s="173"/>
      <c r="BD1577" s="173"/>
      <c r="BE1577" s="173"/>
      <c r="BF1577" s="173"/>
      <c r="BG1577" s="173"/>
      <c r="BH1577" s="173"/>
      <c r="BI1577" s="173"/>
      <c r="BJ1577" s="173"/>
      <c r="BK1577" s="173"/>
      <c r="BL1577" s="173"/>
      <c r="BM1577" s="173"/>
      <c r="BN1577" s="173"/>
      <c r="BO1577" s="173"/>
      <c r="BP1577" s="173"/>
      <c r="BQ1577" s="173"/>
      <c r="BR1577" s="173"/>
      <c r="BS1577" s="173"/>
      <c r="BT1577" s="173"/>
      <c r="BU1577" s="173"/>
      <c r="BV1577" s="173"/>
      <c r="BW1577" s="173"/>
      <c r="BX1577" s="173"/>
      <c r="BY1577" s="173"/>
      <c r="BZ1577" s="173"/>
      <c r="CA1577" s="173"/>
      <c r="CB1577" s="173"/>
      <c r="CC1577" s="173"/>
      <c r="CD1577" s="173"/>
      <c r="CE1577" s="173"/>
      <c r="CF1577" s="173"/>
    </row>
    <row r="1578" spans="1:84" s="224" customFormat="1" ht="90" x14ac:dyDescent="0.35">
      <c r="A1578" s="17" t="s">
        <v>3921</v>
      </c>
      <c r="B1578" s="17" t="s">
        <v>45</v>
      </c>
      <c r="C1578" s="17">
        <v>2025</v>
      </c>
      <c r="D1578" s="17" t="str">
        <f t="array" ref="D1578">_xlfn.SWITCH(E1578,"Jatikalen","35.18.20","Kertosono", "35.18.08","Lengkong","35.18.19","Loceret","35.18.04","Tanjunganom","35.18.11","Wilangan","35.18.15")</f>
        <v>35.18.19</v>
      </c>
      <c r="E1578" s="10" t="s">
        <v>64</v>
      </c>
      <c r="F1578" s="17" t="s">
        <v>3805</v>
      </c>
      <c r="G1578" s="17" t="s">
        <v>3806</v>
      </c>
      <c r="H1578" s="10" t="s">
        <v>991</v>
      </c>
      <c r="I1578" s="16">
        <v>41</v>
      </c>
      <c r="J1578" s="16">
        <v>7</v>
      </c>
      <c r="K1578" s="10">
        <v>48</v>
      </c>
      <c r="L1578" s="265">
        <v>23849803202</v>
      </c>
      <c r="M1578" s="17" t="s">
        <v>3807</v>
      </c>
      <c r="N1578" s="13">
        <f>3862577+16432+20559</f>
        <v>3899568</v>
      </c>
      <c r="O1578" s="10" t="s">
        <v>3808</v>
      </c>
      <c r="P1578" s="248">
        <f>10356608171+1538191653+617777599</f>
        <v>12512577423</v>
      </c>
      <c r="Q1578" s="17" t="s">
        <v>3809</v>
      </c>
      <c r="R1578" s="250">
        <f>104000+68000+12000</f>
        <v>184000</v>
      </c>
      <c r="S1578" s="255" t="s">
        <v>35</v>
      </c>
      <c r="T1578" s="189">
        <f>5449434000+1363413000+582452520</f>
        <v>7395299520</v>
      </c>
      <c r="U1578" s="10"/>
      <c r="V1578" s="10"/>
      <c r="W1578" s="10"/>
      <c r="X1578" s="10"/>
      <c r="Y1578" s="246" t="s">
        <v>3005</v>
      </c>
      <c r="Z1578" s="10"/>
      <c r="AA1578" s="10"/>
      <c r="AB1578" s="10"/>
      <c r="AC1578" s="253" t="s">
        <v>3810</v>
      </c>
      <c r="AD1578" s="10"/>
      <c r="AE1578" s="254"/>
      <c r="AF1578" s="174"/>
      <c r="AG1578" s="173"/>
      <c r="AH1578" s="173"/>
      <c r="AI1578" s="173"/>
      <c r="AJ1578" s="173"/>
      <c r="AK1578" s="173"/>
      <c r="AL1578" s="173"/>
      <c r="AM1578" s="173"/>
      <c r="AN1578" s="173"/>
      <c r="AO1578" s="173"/>
      <c r="AP1578" s="173"/>
      <c r="AQ1578" s="173"/>
      <c r="AR1578" s="173"/>
      <c r="AS1578" s="173"/>
      <c r="AT1578" s="173"/>
      <c r="AU1578" s="173"/>
      <c r="AV1578" s="173"/>
      <c r="AW1578" s="173"/>
      <c r="AX1578" s="173"/>
      <c r="AY1578" s="173"/>
      <c r="AZ1578" s="173"/>
      <c r="BA1578" s="173"/>
      <c r="BB1578" s="173"/>
      <c r="BC1578" s="173"/>
      <c r="BD1578" s="173"/>
      <c r="BE1578" s="173"/>
      <c r="BF1578" s="173"/>
      <c r="BG1578" s="173"/>
      <c r="BH1578" s="173"/>
      <c r="BI1578" s="173"/>
      <c r="BJ1578" s="173"/>
      <c r="BK1578" s="173"/>
      <c r="BL1578" s="173"/>
      <c r="BM1578" s="173"/>
      <c r="BN1578" s="173"/>
      <c r="BO1578" s="173"/>
      <c r="BP1578" s="173"/>
      <c r="BQ1578" s="173"/>
      <c r="BR1578" s="173"/>
      <c r="BS1578" s="173"/>
      <c r="BT1578" s="173"/>
      <c r="BU1578" s="173"/>
      <c r="BV1578" s="173"/>
      <c r="BW1578" s="173"/>
      <c r="BX1578" s="173"/>
      <c r="BY1578" s="173"/>
      <c r="BZ1578" s="173"/>
      <c r="CA1578" s="173"/>
      <c r="CB1578" s="173"/>
      <c r="CC1578" s="173"/>
      <c r="CD1578" s="173"/>
      <c r="CE1578" s="173"/>
      <c r="CF1578" s="173"/>
    </row>
    <row r="1579" spans="1:84" s="224" customFormat="1" ht="40" x14ac:dyDescent="0.35">
      <c r="A1579" s="17" t="s">
        <v>3921</v>
      </c>
      <c r="B1579" s="17" t="s">
        <v>45</v>
      </c>
      <c r="C1579" s="17">
        <v>2025</v>
      </c>
      <c r="D1579" s="17" t="str">
        <f t="array" ref="D1579">_xlfn.SWITCH(E1579,"Bagor","35.18.14","Sukomoro",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579" s="10" t="s">
        <v>149</v>
      </c>
      <c r="F1579" s="17" t="s">
        <v>3811</v>
      </c>
      <c r="G1579" s="17" t="s">
        <v>3812</v>
      </c>
      <c r="H1579" s="10" t="s">
        <v>991</v>
      </c>
      <c r="I1579" s="16">
        <v>115</v>
      </c>
      <c r="J1579" s="16">
        <v>11</v>
      </c>
      <c r="K1579" s="10">
        <v>126</v>
      </c>
      <c r="L1579" s="265">
        <v>21783855071</v>
      </c>
      <c r="M1579" s="17" t="s">
        <v>3813</v>
      </c>
      <c r="N1579" s="13">
        <v>3828700</v>
      </c>
      <c r="O1579" s="10" t="s">
        <v>35</v>
      </c>
      <c r="P1579" s="248">
        <v>57430500000</v>
      </c>
      <c r="Q1579" s="199" t="s">
        <v>3814</v>
      </c>
      <c r="R1579" s="189">
        <v>62912600</v>
      </c>
      <c r="S1579" s="10" t="s">
        <v>35</v>
      </c>
      <c r="T1579" s="262">
        <v>54104836000</v>
      </c>
      <c r="U1579" s="10"/>
      <c r="V1579" s="43" t="s">
        <v>3688</v>
      </c>
      <c r="W1579" s="224">
        <v>2.1560000000000001</v>
      </c>
      <c r="X1579" s="10" t="s">
        <v>143</v>
      </c>
      <c r="Y1579" s="246" t="s">
        <v>3005</v>
      </c>
      <c r="Z1579" s="10"/>
      <c r="AA1579" s="10"/>
      <c r="AB1579" s="10"/>
      <c r="AC1579" s="253" t="s">
        <v>3815</v>
      </c>
      <c r="AD1579" s="10"/>
      <c r="AE1579" s="254"/>
      <c r="AF1579" s="174"/>
      <c r="AG1579" s="173"/>
      <c r="AH1579" s="173"/>
      <c r="AI1579" s="173"/>
      <c r="AJ1579" s="173"/>
      <c r="AK1579" s="173"/>
      <c r="AL1579" s="173"/>
      <c r="AM1579" s="173"/>
      <c r="AN1579" s="173"/>
      <c r="AO1579" s="173"/>
      <c r="AP1579" s="173"/>
      <c r="AQ1579" s="173"/>
      <c r="AR1579" s="173"/>
      <c r="AS1579" s="173"/>
      <c r="AT1579" s="173"/>
      <c r="AU1579" s="173"/>
      <c r="AV1579" s="173"/>
      <c r="AW1579" s="173"/>
      <c r="AX1579" s="173"/>
      <c r="AY1579" s="173"/>
      <c r="AZ1579" s="173"/>
      <c r="BA1579" s="173"/>
      <c r="BB1579" s="173"/>
      <c r="BC1579" s="173"/>
      <c r="BD1579" s="173"/>
      <c r="BE1579" s="173"/>
      <c r="BF1579" s="173"/>
      <c r="BG1579" s="173"/>
      <c r="BH1579" s="173"/>
      <c r="BI1579" s="173"/>
      <c r="BJ1579" s="173"/>
      <c r="BK1579" s="173"/>
      <c r="BL1579" s="173"/>
      <c r="BM1579" s="173"/>
      <c r="BN1579" s="173"/>
      <c r="BO1579" s="173"/>
      <c r="BP1579" s="173"/>
      <c r="BQ1579" s="173"/>
      <c r="BR1579" s="173"/>
      <c r="BS1579" s="173"/>
      <c r="BT1579" s="173"/>
      <c r="BU1579" s="173"/>
      <c r="BV1579" s="173"/>
      <c r="BW1579" s="173"/>
      <c r="BX1579" s="173"/>
      <c r="BY1579" s="173"/>
      <c r="BZ1579" s="173"/>
      <c r="CA1579" s="173"/>
      <c r="CB1579" s="173"/>
      <c r="CC1579" s="173"/>
      <c r="CD1579" s="173"/>
      <c r="CE1579" s="173"/>
      <c r="CF1579" s="173"/>
    </row>
    <row r="1580" spans="1:84" s="224" customFormat="1" ht="60" x14ac:dyDescent="0.35">
      <c r="A1580" s="17" t="s">
        <v>3921</v>
      </c>
      <c r="B1580" s="17" t="s">
        <v>45</v>
      </c>
      <c r="C1580" s="17">
        <v>2025</v>
      </c>
      <c r="D1580" s="17" t="str">
        <f t="array" ref="D1580">_xlfn.SWITCH(E1580,"Bagor","35.18.14","Sukomoro",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80" s="10" t="s">
        <v>114</v>
      </c>
      <c r="F1580" s="17" t="s">
        <v>3816</v>
      </c>
      <c r="G1580" s="17" t="s">
        <v>3817</v>
      </c>
      <c r="H1580" s="10" t="s">
        <v>991</v>
      </c>
      <c r="I1580" s="16">
        <v>367</v>
      </c>
      <c r="J1580" s="16">
        <v>262</v>
      </c>
      <c r="K1580" s="10">
        <v>629</v>
      </c>
      <c r="L1580" s="265">
        <v>94611455833</v>
      </c>
      <c r="M1580" s="17" t="s">
        <v>3818</v>
      </c>
      <c r="N1580" s="268">
        <v>7204464</v>
      </c>
      <c r="O1580" s="10" t="s">
        <v>35</v>
      </c>
      <c r="P1580" s="248">
        <v>245568612718</v>
      </c>
      <c r="Q1580" s="17" t="s">
        <v>3819</v>
      </c>
      <c r="R1580" s="250" t="s">
        <v>3820</v>
      </c>
      <c r="S1580" s="255" t="s">
        <v>35</v>
      </c>
      <c r="T1580" s="269">
        <v>165346330794</v>
      </c>
      <c r="U1580" s="10"/>
      <c r="V1580" s="10"/>
      <c r="W1580" s="10"/>
      <c r="X1580" s="10"/>
      <c r="Y1580" s="246" t="s">
        <v>3005</v>
      </c>
      <c r="Z1580" s="10"/>
      <c r="AA1580" s="10"/>
      <c r="AB1580" s="10"/>
      <c r="AC1580" s="253" t="s">
        <v>3821</v>
      </c>
      <c r="AD1580" s="10"/>
      <c r="AE1580" s="254"/>
      <c r="AF1580" s="174"/>
      <c r="AG1580" s="173"/>
      <c r="AH1580" s="173"/>
      <c r="AI1580" s="173"/>
      <c r="AJ1580" s="173"/>
      <c r="AK1580" s="173"/>
      <c r="AL1580" s="173"/>
      <c r="AM1580" s="173"/>
      <c r="AN1580" s="173"/>
      <c r="AO1580" s="173"/>
      <c r="AP1580" s="173"/>
      <c r="AQ1580" s="173"/>
      <c r="AR1580" s="173"/>
      <c r="AS1580" s="173"/>
      <c r="AT1580" s="173"/>
      <c r="AU1580" s="173"/>
      <c r="AV1580" s="173"/>
      <c r="AW1580" s="173"/>
      <c r="AX1580" s="173"/>
      <c r="AY1580" s="173"/>
      <c r="AZ1580" s="173"/>
      <c r="BA1580" s="173"/>
      <c r="BB1580" s="173"/>
      <c r="BC1580" s="173"/>
      <c r="BD1580" s="173"/>
      <c r="BE1580" s="173"/>
      <c r="BF1580" s="173"/>
      <c r="BG1580" s="173"/>
      <c r="BH1580" s="173"/>
      <c r="BI1580" s="173"/>
      <c r="BJ1580" s="173"/>
      <c r="BK1580" s="173"/>
      <c r="BL1580" s="173"/>
      <c r="BM1580" s="173"/>
      <c r="BN1580" s="173"/>
      <c r="BO1580" s="173"/>
      <c r="BP1580" s="173"/>
      <c r="BQ1580" s="173"/>
      <c r="BR1580" s="173"/>
      <c r="BS1580" s="173"/>
      <c r="BT1580" s="173"/>
      <c r="BU1580" s="173"/>
      <c r="BV1580" s="173"/>
      <c r="BW1580" s="173"/>
      <c r="BX1580" s="173"/>
      <c r="BY1580" s="173"/>
      <c r="BZ1580" s="173"/>
      <c r="CA1580" s="173"/>
      <c r="CB1580" s="173"/>
      <c r="CC1580" s="173"/>
      <c r="CD1580" s="173"/>
      <c r="CE1580" s="173"/>
      <c r="CF1580" s="173"/>
    </row>
    <row r="1581" spans="1:84" s="224" customFormat="1" ht="30" x14ac:dyDescent="0.35">
      <c r="A1581" s="17" t="s">
        <v>3921</v>
      </c>
      <c r="B1581" s="17" t="s">
        <v>45</v>
      </c>
      <c r="C1581" s="17">
        <v>2025</v>
      </c>
      <c r="D1581" s="17" t="str">
        <f t="array" ref="D1581">_xlfn.SWITCH(E1581,"Bagor","35.18.14","Sukomoro",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81" s="10" t="s">
        <v>157</v>
      </c>
      <c r="F1581" s="17" t="s">
        <v>3822</v>
      </c>
      <c r="G1581" s="195" t="s">
        <v>3823</v>
      </c>
      <c r="H1581" s="10" t="s">
        <v>991</v>
      </c>
      <c r="I1581" s="16">
        <v>37</v>
      </c>
      <c r="J1581" s="16">
        <v>469</v>
      </c>
      <c r="K1581" s="10">
        <v>506</v>
      </c>
      <c r="L1581" s="265">
        <v>10800000000</v>
      </c>
      <c r="M1581" s="17" t="s">
        <v>3824</v>
      </c>
      <c r="N1581" s="270">
        <v>54247.27</v>
      </c>
      <c r="O1581" s="10" t="s">
        <v>35</v>
      </c>
      <c r="P1581" s="252">
        <v>73877516237</v>
      </c>
      <c r="Q1581" s="195" t="s">
        <v>3825</v>
      </c>
      <c r="R1581" s="271">
        <v>98090.19</v>
      </c>
      <c r="S1581" s="10" t="s">
        <v>35</v>
      </c>
      <c r="T1581" s="272">
        <v>39668779222</v>
      </c>
      <c r="U1581" s="10"/>
      <c r="V1581" s="10"/>
      <c r="W1581" s="10"/>
      <c r="X1581" s="10"/>
      <c r="Y1581" s="246" t="s">
        <v>3005</v>
      </c>
      <c r="Z1581" s="10"/>
      <c r="AA1581" s="10"/>
      <c r="AB1581" s="10"/>
      <c r="AC1581" s="253" t="s">
        <v>3826</v>
      </c>
      <c r="AD1581" s="10"/>
      <c r="AE1581" s="254"/>
      <c r="AF1581" s="174"/>
      <c r="AG1581" s="173"/>
      <c r="AH1581" s="173"/>
      <c r="AI1581" s="173"/>
      <c r="AJ1581" s="173"/>
      <c r="AK1581" s="173"/>
      <c r="AL1581" s="173"/>
      <c r="AM1581" s="173"/>
      <c r="AN1581" s="173"/>
      <c r="AO1581" s="173"/>
      <c r="AP1581" s="173"/>
      <c r="AQ1581" s="173"/>
      <c r="AR1581" s="173"/>
      <c r="AS1581" s="173"/>
      <c r="AT1581" s="173"/>
      <c r="AU1581" s="173"/>
      <c r="AV1581" s="173"/>
      <c r="AW1581" s="173"/>
      <c r="AX1581" s="173"/>
      <c r="AY1581" s="173"/>
      <c r="AZ1581" s="173"/>
      <c r="BA1581" s="173"/>
      <c r="BB1581" s="173"/>
      <c r="BC1581" s="173"/>
      <c r="BD1581" s="173"/>
      <c r="BE1581" s="173"/>
      <c r="BF1581" s="173"/>
      <c r="BG1581" s="173"/>
      <c r="BH1581" s="173"/>
      <c r="BI1581" s="173"/>
      <c r="BJ1581" s="173"/>
      <c r="BK1581" s="173"/>
      <c r="BL1581" s="173"/>
      <c r="BM1581" s="173"/>
      <c r="BN1581" s="173"/>
      <c r="BO1581" s="173"/>
      <c r="BP1581" s="173"/>
      <c r="BQ1581" s="173"/>
      <c r="BR1581" s="173"/>
      <c r="BS1581" s="173"/>
      <c r="BT1581" s="173"/>
      <c r="BU1581" s="173"/>
      <c r="BV1581" s="173"/>
      <c r="BW1581" s="173"/>
      <c r="BX1581" s="173"/>
      <c r="BY1581" s="173"/>
      <c r="BZ1581" s="173"/>
      <c r="CA1581" s="173"/>
      <c r="CB1581" s="173"/>
      <c r="CC1581" s="173"/>
      <c r="CD1581" s="173"/>
      <c r="CE1581" s="173"/>
      <c r="CF1581" s="173"/>
    </row>
    <row r="1582" spans="1:84" s="224" customFormat="1" ht="60" x14ac:dyDescent="0.35">
      <c r="A1582" s="17" t="s">
        <v>3921</v>
      </c>
      <c r="B1582" s="17" t="s">
        <v>45</v>
      </c>
      <c r="C1582" s="17">
        <v>2025</v>
      </c>
      <c r="D1582" s="17" t="str">
        <f t="array" ref="D1582">_xlfn.SWITCH(E1582,"Jatikalen","35.18.20","Kertosono", "35.18.08","Lengkong","35.18.19","Loceret","35.18.04","Tanjunganom","35.18.11","Wilangan","35.18.15")</f>
        <v>35.18.20</v>
      </c>
      <c r="E1582" s="10" t="s">
        <v>1083</v>
      </c>
      <c r="F1582" s="17" t="s">
        <v>3827</v>
      </c>
      <c r="G1582" s="195" t="s">
        <v>3828</v>
      </c>
      <c r="H1582" s="10" t="s">
        <v>991</v>
      </c>
      <c r="I1582" s="16">
        <v>6</v>
      </c>
      <c r="J1582" s="16">
        <v>9</v>
      </c>
      <c r="K1582" s="10">
        <v>15</v>
      </c>
      <c r="L1582" s="265">
        <v>4999632490</v>
      </c>
      <c r="M1582" s="17" t="s">
        <v>3829</v>
      </c>
      <c r="N1582" s="13">
        <v>1500000</v>
      </c>
      <c r="O1582" s="10" t="s">
        <v>422</v>
      </c>
      <c r="P1582" s="248">
        <f>N1582*5000</f>
        <v>7500000000</v>
      </c>
      <c r="Q1582" s="195" t="s">
        <v>3830</v>
      </c>
      <c r="R1582" s="250" t="s">
        <v>3831</v>
      </c>
      <c r="S1582" s="10" t="s">
        <v>35</v>
      </c>
      <c r="T1582" s="14">
        <v>3136202200</v>
      </c>
      <c r="U1582" s="10"/>
      <c r="V1582" s="60" t="s">
        <v>3832</v>
      </c>
      <c r="W1582" s="10">
        <v>4.0330000000000004</v>
      </c>
      <c r="X1582" s="10" t="s">
        <v>962</v>
      </c>
      <c r="Y1582" s="246" t="s">
        <v>3005</v>
      </c>
      <c r="Z1582" s="10"/>
      <c r="AA1582" s="10"/>
      <c r="AB1582" s="10"/>
      <c r="AC1582" s="253" t="s">
        <v>3833</v>
      </c>
      <c r="AD1582" s="10"/>
      <c r="AE1582" s="254"/>
      <c r="AF1582" s="174"/>
      <c r="AG1582" s="173"/>
      <c r="AH1582" s="173"/>
      <c r="AI1582" s="173"/>
      <c r="AJ1582" s="173"/>
      <c r="AK1582" s="173"/>
      <c r="AL1582" s="173"/>
      <c r="AM1582" s="173"/>
      <c r="AN1582" s="173"/>
      <c r="AO1582" s="173"/>
      <c r="AP1582" s="173"/>
      <c r="AQ1582" s="173"/>
      <c r="AR1582" s="173"/>
      <c r="AS1582" s="173"/>
      <c r="AT1582" s="173"/>
      <c r="AU1582" s="173"/>
      <c r="AV1582" s="173"/>
      <c r="AW1582" s="173"/>
      <c r="AX1582" s="173"/>
      <c r="AY1582" s="173"/>
      <c r="AZ1582" s="173"/>
      <c r="BA1582" s="173"/>
      <c r="BB1582" s="173"/>
      <c r="BC1582" s="173"/>
      <c r="BD1582" s="173"/>
      <c r="BE1582" s="173"/>
      <c r="BF1582" s="173"/>
      <c r="BG1582" s="173"/>
      <c r="BH1582" s="173"/>
      <c r="BI1582" s="173"/>
      <c r="BJ1582" s="173"/>
      <c r="BK1582" s="173"/>
      <c r="BL1582" s="173"/>
      <c r="BM1582" s="173"/>
      <c r="BN1582" s="173"/>
      <c r="BO1582" s="173"/>
      <c r="BP1582" s="173"/>
      <c r="BQ1582" s="173"/>
      <c r="BR1582" s="173"/>
      <c r="BS1582" s="173"/>
      <c r="BT1582" s="173"/>
      <c r="BU1582" s="173"/>
      <c r="BV1582" s="173"/>
      <c r="BW1582" s="173"/>
      <c r="BX1582" s="173"/>
      <c r="BY1582" s="173"/>
      <c r="BZ1582" s="173"/>
      <c r="CA1582" s="173"/>
      <c r="CB1582" s="173"/>
      <c r="CC1582" s="173"/>
      <c r="CD1582" s="173"/>
      <c r="CE1582" s="173"/>
      <c r="CF1582" s="173"/>
    </row>
    <row r="1583" spans="1:84" ht="40" x14ac:dyDescent="0.2">
      <c r="A1583" s="17" t="s">
        <v>3921</v>
      </c>
      <c r="B1583" s="17" t="s">
        <v>45</v>
      </c>
      <c r="C1583" s="17">
        <v>2025</v>
      </c>
      <c r="D1583" s="17" t="str">
        <f t="array" ref="D1583">_xlfn.SWITCH(E1583,"Jatikalen","35.18.20","Kertosono", "35.18.08","Lengkong","35.18.19","Loceret","35.18.04","Tanjunganom","35.18.11","Wilangan","35.18.15")</f>
        <v>35.18.08</v>
      </c>
      <c r="E1583" s="10" t="s">
        <v>128</v>
      </c>
      <c r="F1583" s="17" t="s">
        <v>3834</v>
      </c>
      <c r="G1583" s="17" t="s">
        <v>3835</v>
      </c>
      <c r="H1583" s="10" t="s">
        <v>991</v>
      </c>
      <c r="I1583" s="16">
        <v>50</v>
      </c>
      <c r="J1583" s="16">
        <v>78</v>
      </c>
      <c r="K1583" s="10">
        <v>128</v>
      </c>
      <c r="L1583" s="265">
        <v>9337809065</v>
      </c>
      <c r="M1583" s="17" t="s">
        <v>3836</v>
      </c>
      <c r="N1583" s="13">
        <v>17100</v>
      </c>
      <c r="O1583" s="10" t="s">
        <v>962</v>
      </c>
      <c r="P1583" s="248">
        <v>85725000000</v>
      </c>
      <c r="Q1583" s="195" t="s">
        <v>3837</v>
      </c>
      <c r="R1583" s="250">
        <v>36000</v>
      </c>
      <c r="S1583" s="10" t="s">
        <v>962</v>
      </c>
      <c r="T1583" s="248">
        <f>R1583*351000</f>
        <v>12636000000</v>
      </c>
      <c r="U1583" s="20" t="s">
        <v>3838</v>
      </c>
      <c r="V1583" s="10"/>
      <c r="W1583" s="10"/>
      <c r="X1583" s="10"/>
      <c r="Y1583" s="21" t="s">
        <v>3005</v>
      </c>
      <c r="Z1583" s="21" t="s">
        <v>3005</v>
      </c>
      <c r="AA1583" s="21" t="s">
        <v>3005</v>
      </c>
      <c r="AB1583" s="10"/>
      <c r="AC1583" s="10" t="s">
        <v>3839</v>
      </c>
      <c r="AD1583" s="2"/>
      <c r="AF1583" s="1"/>
    </row>
    <row r="1584" spans="1:84" ht="50" x14ac:dyDescent="0.2">
      <c r="A1584" s="17" t="s">
        <v>3921</v>
      </c>
      <c r="B1584" s="17" t="s">
        <v>45</v>
      </c>
      <c r="C1584" s="17">
        <v>2025</v>
      </c>
      <c r="D1584" s="17" t="str">
        <f t="array" ref="D1584">_xlfn.SWITCH(E1584,"Bagor","35.18.14","Sukomoro",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84" s="10" t="s">
        <v>103</v>
      </c>
      <c r="F1584" s="17" t="s">
        <v>3840</v>
      </c>
      <c r="G1584" s="17" t="s">
        <v>3841</v>
      </c>
      <c r="H1584" s="10" t="s">
        <v>991</v>
      </c>
      <c r="I1584" s="16">
        <v>116</v>
      </c>
      <c r="J1584" s="16">
        <v>304</v>
      </c>
      <c r="K1584" s="10">
        <v>420</v>
      </c>
      <c r="L1584" s="265">
        <v>142262363600</v>
      </c>
      <c r="M1584" s="17" t="s">
        <v>3842</v>
      </c>
      <c r="N1584" s="13">
        <v>214657</v>
      </c>
      <c r="O1584" s="10" t="s">
        <v>3275</v>
      </c>
      <c r="P1584" s="248">
        <v>635035380000</v>
      </c>
      <c r="Q1584" s="17" t="s">
        <v>3843</v>
      </c>
      <c r="R1584" s="13">
        <v>1103685</v>
      </c>
      <c r="S1584" s="10" t="s">
        <v>1672</v>
      </c>
      <c r="T1584" s="15">
        <v>224441885000</v>
      </c>
      <c r="U1584" s="20" t="s">
        <v>3838</v>
      </c>
      <c r="V1584" s="10"/>
      <c r="W1584" s="10"/>
      <c r="X1584" s="10"/>
      <c r="Y1584" s="21"/>
      <c r="Z1584" s="21"/>
      <c r="AA1584" s="21"/>
      <c r="AB1584" s="21" t="s">
        <v>3005</v>
      </c>
      <c r="AC1584" s="10" t="s">
        <v>3844</v>
      </c>
      <c r="AD1584" s="2"/>
      <c r="AF1584" s="1"/>
    </row>
    <row r="1585" spans="1:32" ht="50" x14ac:dyDescent="0.2">
      <c r="A1585" s="17" t="s">
        <v>3921</v>
      </c>
      <c r="B1585" s="17" t="s">
        <v>45</v>
      </c>
      <c r="C1585" s="17">
        <v>2025</v>
      </c>
      <c r="D1585" s="17" t="str">
        <f t="array" ref="D1585">_xlfn.SWITCH(E1585,"Bagor","35.18.14","Sukomoro",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85" s="10" t="s">
        <v>45</v>
      </c>
      <c r="F1585" s="17" t="s">
        <v>3845</v>
      </c>
      <c r="G1585" s="17" t="s">
        <v>3846</v>
      </c>
      <c r="H1585" s="10" t="s">
        <v>31</v>
      </c>
      <c r="I1585" s="273">
        <v>2</v>
      </c>
      <c r="J1585" s="273">
        <v>5</v>
      </c>
      <c r="K1585" s="274">
        <v>7</v>
      </c>
      <c r="L1585" s="265">
        <v>20000000</v>
      </c>
      <c r="M1585" s="17" t="s">
        <v>3847</v>
      </c>
      <c r="N1585" s="13">
        <v>40</v>
      </c>
      <c r="O1585" s="10" t="s">
        <v>422</v>
      </c>
      <c r="P1585" s="248">
        <v>9500000</v>
      </c>
      <c r="Q1585" s="195" t="s">
        <v>1553</v>
      </c>
      <c r="R1585" s="250">
        <v>90</v>
      </c>
      <c r="S1585" s="10" t="s">
        <v>422</v>
      </c>
      <c r="T1585" s="248">
        <v>2250000</v>
      </c>
      <c r="U1585" s="20" t="s">
        <v>22</v>
      </c>
      <c r="V1585" s="10"/>
      <c r="W1585" s="10"/>
      <c r="X1585" s="10"/>
      <c r="Y1585" s="21" t="s">
        <v>3005</v>
      </c>
      <c r="Z1585" s="21" t="s">
        <v>3005</v>
      </c>
      <c r="AA1585" s="21" t="s">
        <v>3005</v>
      </c>
      <c r="AB1585" s="10"/>
      <c r="AC1585" s="10" t="s">
        <v>3848</v>
      </c>
      <c r="AD1585" s="2"/>
      <c r="AF1585" s="1"/>
    </row>
    <row r="1586" spans="1:32" ht="50" x14ac:dyDescent="0.2">
      <c r="A1586" s="17" t="s">
        <v>3921</v>
      </c>
      <c r="B1586" s="17" t="s">
        <v>45</v>
      </c>
      <c r="C1586" s="17">
        <v>2025</v>
      </c>
      <c r="D1586" s="17" t="str">
        <f t="array" ref="D1586">_xlfn.SWITCH(E1586,"Bagor","35.18.14","Sukomoro",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86" s="10" t="s">
        <v>103</v>
      </c>
      <c r="F1586" s="17" t="s">
        <v>3849</v>
      </c>
      <c r="G1586" s="17" t="s">
        <v>3850</v>
      </c>
      <c r="H1586" s="10" t="s">
        <v>991</v>
      </c>
      <c r="I1586" s="16">
        <v>157</v>
      </c>
      <c r="J1586" s="16">
        <v>125</v>
      </c>
      <c r="K1586" s="10">
        <v>282</v>
      </c>
      <c r="L1586" s="265">
        <v>5061518616</v>
      </c>
      <c r="M1586" s="17" t="s">
        <v>3851</v>
      </c>
      <c r="N1586" s="13">
        <v>127674</v>
      </c>
      <c r="O1586" s="10" t="s">
        <v>3852</v>
      </c>
      <c r="P1586" s="248">
        <v>16140787400</v>
      </c>
      <c r="Q1586" s="17" t="s">
        <v>3853</v>
      </c>
      <c r="R1586" s="250">
        <v>11125</v>
      </c>
      <c r="S1586" s="10" t="s">
        <v>422</v>
      </c>
      <c r="T1586" s="248">
        <v>3136862243</v>
      </c>
      <c r="U1586" s="20" t="s">
        <v>22</v>
      </c>
      <c r="V1586" s="10"/>
      <c r="W1586" s="10"/>
      <c r="X1586" s="10"/>
      <c r="Y1586" s="21" t="s">
        <v>3005</v>
      </c>
      <c r="Z1586" s="21" t="s">
        <v>3005</v>
      </c>
      <c r="AA1586" s="21" t="s">
        <v>3005</v>
      </c>
      <c r="AB1586" s="21" t="s">
        <v>3005</v>
      </c>
      <c r="AC1586" s="10" t="s">
        <v>3854</v>
      </c>
      <c r="AD1586" s="2"/>
      <c r="AF1586" s="1"/>
    </row>
    <row r="1587" spans="1:32" ht="90" x14ac:dyDescent="0.2">
      <c r="A1587" s="17" t="s">
        <v>3921</v>
      </c>
      <c r="B1587" s="17" t="s">
        <v>45</v>
      </c>
      <c r="C1587" s="17">
        <v>2025</v>
      </c>
      <c r="D1587" s="17" t="str">
        <f t="array" ref="D1587">_xlfn.SWITCH(E1587,"Jatikalen","35.18.20","Kertosono", "35.18.08","Lengkong","35.18.19","Loceret","35.18.04","Tanjunganom","35.18.11","Wilangan","35.18.15")</f>
        <v>35.18.19</v>
      </c>
      <c r="E1587" s="10" t="s">
        <v>64</v>
      </c>
      <c r="F1587" s="17" t="s">
        <v>3855</v>
      </c>
      <c r="G1587" s="17" t="s">
        <v>3856</v>
      </c>
      <c r="H1587" s="10" t="s">
        <v>991</v>
      </c>
      <c r="I1587" s="16">
        <v>57</v>
      </c>
      <c r="J1587" s="16">
        <v>85</v>
      </c>
      <c r="K1587" s="10">
        <v>142</v>
      </c>
      <c r="L1587" s="265">
        <v>4130547886</v>
      </c>
      <c r="M1587" s="17" t="s">
        <v>3857</v>
      </c>
      <c r="N1587" s="13">
        <v>105360</v>
      </c>
      <c r="O1587" s="10" t="s">
        <v>3033</v>
      </c>
      <c r="P1587" s="248">
        <v>9633156700</v>
      </c>
      <c r="Q1587" s="17" t="s">
        <v>3809</v>
      </c>
      <c r="R1587" s="250">
        <v>11125</v>
      </c>
      <c r="S1587" s="10" t="s">
        <v>422</v>
      </c>
      <c r="T1587" s="248">
        <v>2136862240</v>
      </c>
      <c r="U1587" s="20"/>
      <c r="V1587" s="10"/>
      <c r="W1587" s="10"/>
      <c r="X1587" s="10"/>
      <c r="Y1587" s="21" t="s">
        <v>3005</v>
      </c>
      <c r="Z1587" s="21" t="s">
        <v>3005</v>
      </c>
      <c r="AA1587" s="21"/>
      <c r="AB1587" s="21"/>
      <c r="AC1587" s="10" t="s">
        <v>3858</v>
      </c>
      <c r="AD1587" s="2"/>
      <c r="AF1587" s="1"/>
    </row>
    <row r="1588" spans="1:32" ht="40" x14ac:dyDescent="0.2">
      <c r="A1588" s="17" t="s">
        <v>3921</v>
      </c>
      <c r="B1588" s="17" t="s">
        <v>45</v>
      </c>
      <c r="C1588" s="17">
        <v>2025</v>
      </c>
      <c r="D1588" s="17" t="str">
        <f t="array" ref="D1588">_xlfn.SWITCH(E1588,"Bagor","35.18.14","Sukomoro",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88" s="10" t="s">
        <v>29</v>
      </c>
      <c r="F1588" s="17" t="s">
        <v>3859</v>
      </c>
      <c r="G1588" s="17" t="s">
        <v>3860</v>
      </c>
      <c r="H1588" s="10" t="s">
        <v>991</v>
      </c>
      <c r="I1588" s="273">
        <v>30</v>
      </c>
      <c r="J1588" s="273">
        <v>20</v>
      </c>
      <c r="K1588" s="274">
        <v>50</v>
      </c>
      <c r="L1588" s="265">
        <v>5830000000</v>
      </c>
      <c r="M1588" s="17" t="s">
        <v>3861</v>
      </c>
      <c r="N1588" s="13">
        <v>215917</v>
      </c>
      <c r="O1588" s="10" t="s">
        <v>35</v>
      </c>
      <c r="P1588" s="248">
        <v>86804091200</v>
      </c>
      <c r="Q1588" s="17" t="s">
        <v>3635</v>
      </c>
      <c r="R1588" s="250">
        <v>215917</v>
      </c>
      <c r="S1588" s="10" t="s">
        <v>422</v>
      </c>
      <c r="T1588" s="248">
        <v>25262289000</v>
      </c>
      <c r="U1588" s="20"/>
      <c r="V1588" s="16" t="s">
        <v>3688</v>
      </c>
      <c r="W1588" s="250">
        <v>5250</v>
      </c>
      <c r="X1588" s="10" t="s">
        <v>1049</v>
      </c>
      <c r="Y1588" s="21" t="s">
        <v>3005</v>
      </c>
      <c r="Z1588" s="21" t="s">
        <v>3005</v>
      </c>
      <c r="AA1588" s="21"/>
      <c r="AB1588" s="21"/>
      <c r="AC1588" s="10" t="s">
        <v>3862</v>
      </c>
      <c r="AD1588" s="2"/>
      <c r="AF1588" s="1"/>
    </row>
    <row r="1589" spans="1:32" ht="40" x14ac:dyDescent="0.2">
      <c r="A1589" s="17" t="s">
        <v>3921</v>
      </c>
      <c r="B1589" s="17" t="s">
        <v>45</v>
      </c>
      <c r="C1589" s="17">
        <v>2025</v>
      </c>
      <c r="D1589" s="17" t="str">
        <f t="array" ref="D1589">_xlfn.SWITCH(E1589,"Jatikalen","35.18.20","Kertosono", "35.18.08","Lengkong","35.18.19","Loceret","35.18.04","Tanjunganom","35.18.11","Wilangan","35.18.15")</f>
        <v>35.18.20</v>
      </c>
      <c r="E1589" s="10" t="s">
        <v>1083</v>
      </c>
      <c r="F1589" s="17" t="s">
        <v>3863</v>
      </c>
      <c r="G1589" s="17" t="s">
        <v>3864</v>
      </c>
      <c r="H1589" s="10" t="s">
        <v>991</v>
      </c>
      <c r="I1589" s="273">
        <v>50</v>
      </c>
      <c r="J1589" s="273">
        <v>11</v>
      </c>
      <c r="K1589" s="274">
        <v>61</v>
      </c>
      <c r="L1589" s="265">
        <v>71500000000</v>
      </c>
      <c r="M1589" s="17" t="s">
        <v>3857</v>
      </c>
      <c r="N1589" s="13">
        <v>330000</v>
      </c>
      <c r="O1589" s="10" t="s">
        <v>35</v>
      </c>
      <c r="P1589" s="248">
        <v>97550000000</v>
      </c>
      <c r="Q1589" s="17" t="s">
        <v>3865</v>
      </c>
      <c r="R1589" s="250">
        <v>320000</v>
      </c>
      <c r="S1589" s="10" t="s">
        <v>422</v>
      </c>
      <c r="T1589" s="248">
        <v>3425000000</v>
      </c>
      <c r="U1589" s="20"/>
      <c r="V1589" s="16"/>
      <c r="W1589" s="250"/>
      <c r="X1589" s="10"/>
      <c r="Y1589" s="21" t="s">
        <v>3005</v>
      </c>
      <c r="Z1589" s="21" t="s">
        <v>3005</v>
      </c>
      <c r="AA1589" s="21"/>
      <c r="AB1589" s="21"/>
      <c r="AC1589" s="10" t="s">
        <v>3866</v>
      </c>
      <c r="AD1589" s="2"/>
      <c r="AF1589" s="1"/>
    </row>
    <row r="1590" spans="1:32" ht="50" x14ac:dyDescent="0.2">
      <c r="A1590" s="17" t="s">
        <v>3921</v>
      </c>
      <c r="B1590" s="17" t="s">
        <v>45</v>
      </c>
      <c r="C1590" s="17">
        <v>2025</v>
      </c>
      <c r="D1590" s="17" t="str">
        <f t="array" ref="D1590">_xlfn.SWITCH(E1590,"Bagor","35.18.14","Sukomoro",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590" s="10" t="s">
        <v>188</v>
      </c>
      <c r="F1590" s="17" t="s">
        <v>3867</v>
      </c>
      <c r="G1590" s="17" t="s">
        <v>3868</v>
      </c>
      <c r="H1590" s="10" t="s">
        <v>991</v>
      </c>
      <c r="I1590" s="16">
        <v>204</v>
      </c>
      <c r="J1590" s="16">
        <v>1259</v>
      </c>
      <c r="K1590" s="10">
        <v>1463</v>
      </c>
      <c r="L1590" s="265">
        <v>85000000000</v>
      </c>
      <c r="M1590" s="17" t="s">
        <v>3869</v>
      </c>
      <c r="N1590" s="13">
        <v>415200</v>
      </c>
      <c r="O1590" s="10" t="s">
        <v>3033</v>
      </c>
      <c r="P1590" s="248">
        <v>412689530400</v>
      </c>
      <c r="Q1590" s="17" t="s">
        <v>3870</v>
      </c>
      <c r="R1590" s="250">
        <v>268300</v>
      </c>
      <c r="S1590" s="10" t="s">
        <v>1672</v>
      </c>
      <c r="T1590" s="248">
        <v>8697453000</v>
      </c>
      <c r="U1590" s="20"/>
      <c r="V1590" s="16"/>
      <c r="W1590" s="250"/>
      <c r="X1590" s="10"/>
      <c r="Y1590" s="21" t="s">
        <v>3005</v>
      </c>
      <c r="Z1590" s="21" t="s">
        <v>3005</v>
      </c>
      <c r="AA1590" s="21" t="s">
        <v>3005</v>
      </c>
      <c r="AB1590" s="21"/>
      <c r="AC1590" s="10" t="s">
        <v>3871</v>
      </c>
      <c r="AD1590" s="2"/>
      <c r="AF1590" s="1"/>
    </row>
    <row r="1591" spans="1:32" ht="40" x14ac:dyDescent="0.2">
      <c r="A1591" s="17" t="s">
        <v>3921</v>
      </c>
      <c r="B1591" s="17" t="s">
        <v>45</v>
      </c>
      <c r="C1591" s="17">
        <v>2025</v>
      </c>
      <c r="D1591" s="17" t="str">
        <f t="array" ref="D1591">_xlfn.SWITCH(E1591,"Bagor","35.18.14","Sukomoro",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91" s="10" t="s">
        <v>103</v>
      </c>
      <c r="F1591" s="17" t="s">
        <v>3620</v>
      </c>
      <c r="G1591" s="17" t="s">
        <v>3872</v>
      </c>
      <c r="H1591" s="10" t="s">
        <v>991</v>
      </c>
      <c r="I1591" s="273">
        <v>22</v>
      </c>
      <c r="J1591" s="273">
        <v>65</v>
      </c>
      <c r="K1591" s="274">
        <v>87</v>
      </c>
      <c r="L1591" s="265">
        <v>3400000000</v>
      </c>
      <c r="M1591" s="17" t="s">
        <v>3873</v>
      </c>
      <c r="N1591" s="13">
        <v>180</v>
      </c>
      <c r="O1591" s="10" t="s">
        <v>1538</v>
      </c>
      <c r="P1591" s="248">
        <v>1208000000</v>
      </c>
      <c r="Q1591" s="17" t="s">
        <v>3635</v>
      </c>
      <c r="R1591" s="250">
        <v>10</v>
      </c>
      <c r="S1591" s="10" t="s">
        <v>35</v>
      </c>
      <c r="T1591" s="248">
        <v>800000000</v>
      </c>
      <c r="U1591" s="20"/>
      <c r="V1591" s="16"/>
      <c r="W1591" s="250"/>
      <c r="X1591" s="10"/>
      <c r="Y1591" s="21" t="s">
        <v>3005</v>
      </c>
      <c r="Z1591" s="21" t="s">
        <v>3005</v>
      </c>
      <c r="AA1591" s="21"/>
      <c r="AB1591" s="21"/>
      <c r="AC1591" s="10" t="s">
        <v>3874</v>
      </c>
      <c r="AD1591" s="2"/>
      <c r="AF1591" s="1"/>
    </row>
    <row r="1592" spans="1:32" ht="40" x14ac:dyDescent="0.2">
      <c r="A1592" s="17" t="s">
        <v>3921</v>
      </c>
      <c r="B1592" s="17" t="s">
        <v>45</v>
      </c>
      <c r="C1592" s="17">
        <v>2025</v>
      </c>
      <c r="D1592" s="17" t="str">
        <f t="array" ref="D1592">_xlfn.SWITCH(E1592,"Jatikalen","35.18.20","Kertosono", "35.18.08","Lengkong","35.18.19","Loceret","35.18.04","Tanjunganom","35.18.11","Wilangan","35.18.15")</f>
        <v>35.18.08</v>
      </c>
      <c r="E1592" s="10" t="s">
        <v>128</v>
      </c>
      <c r="F1592" s="17" t="s">
        <v>3875</v>
      </c>
      <c r="G1592" s="17" t="s">
        <v>3876</v>
      </c>
      <c r="H1592" s="10" t="s">
        <v>991</v>
      </c>
      <c r="I1592" s="273">
        <v>25</v>
      </c>
      <c r="J1592" s="273">
        <v>48</v>
      </c>
      <c r="K1592" s="274">
        <v>73</v>
      </c>
      <c r="L1592" s="265">
        <v>425000000</v>
      </c>
      <c r="M1592" s="17" t="s">
        <v>3877</v>
      </c>
      <c r="N1592" s="13">
        <v>520000</v>
      </c>
      <c r="O1592" s="10" t="s">
        <v>962</v>
      </c>
      <c r="P1592" s="248">
        <f>N1592*652000</f>
        <v>339040000000</v>
      </c>
      <c r="Q1592" s="17" t="s">
        <v>3878</v>
      </c>
      <c r="R1592" s="250">
        <v>83100</v>
      </c>
      <c r="S1592" s="10" t="s">
        <v>962</v>
      </c>
      <c r="T1592" s="248">
        <f>R1592*2020000</f>
        <v>167862000000</v>
      </c>
      <c r="U1592" s="20"/>
      <c r="V1592" s="16"/>
      <c r="W1592" s="250"/>
      <c r="X1592" s="10"/>
      <c r="Y1592" s="21" t="s">
        <v>3005</v>
      </c>
      <c r="Z1592" s="21" t="s">
        <v>3005</v>
      </c>
      <c r="AA1592" s="21"/>
      <c r="AB1592" s="21"/>
      <c r="AC1592" s="10" t="s">
        <v>3879</v>
      </c>
    </row>
    <row r="1593" spans="1:32" ht="30" x14ac:dyDescent="0.2">
      <c r="A1593" s="17" t="s">
        <v>3921</v>
      </c>
      <c r="B1593" s="17" t="s">
        <v>45</v>
      </c>
      <c r="C1593" s="17">
        <v>2025</v>
      </c>
      <c r="D1593" s="17" t="str">
        <f t="array" ref="D1593">_xlfn.SWITCH(E1593,"Bagor","35.18.14","Sukomoro",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593" s="10" t="s">
        <v>188</v>
      </c>
      <c r="F1593" s="17" t="s">
        <v>3880</v>
      </c>
      <c r="G1593" s="17" t="s">
        <v>3881</v>
      </c>
      <c r="H1593" s="10" t="s">
        <v>991</v>
      </c>
      <c r="I1593" s="273">
        <v>3</v>
      </c>
      <c r="J1593" s="273">
        <v>180</v>
      </c>
      <c r="K1593" s="274">
        <f t="shared" ref="K1593:K1600" si="39">J1593+I1593</f>
        <v>183</v>
      </c>
      <c r="L1593" s="265">
        <v>785000000</v>
      </c>
      <c r="M1593" s="17" t="s">
        <v>3882</v>
      </c>
      <c r="N1593" s="13">
        <v>9216000</v>
      </c>
      <c r="O1593" s="10" t="s">
        <v>1538</v>
      </c>
      <c r="P1593" s="248">
        <v>650000000</v>
      </c>
      <c r="Q1593" s="17" t="s">
        <v>3635</v>
      </c>
      <c r="R1593" s="250">
        <v>18000</v>
      </c>
      <c r="S1593" s="10" t="s">
        <v>422</v>
      </c>
      <c r="T1593" s="248">
        <v>650000000</v>
      </c>
      <c r="U1593" s="20"/>
      <c r="V1593" s="16"/>
      <c r="W1593" s="250"/>
      <c r="X1593" s="10"/>
      <c r="Y1593" s="21" t="s">
        <v>3005</v>
      </c>
      <c r="Z1593" s="21" t="s">
        <v>3005</v>
      </c>
      <c r="AA1593" s="21"/>
      <c r="AB1593" s="21"/>
      <c r="AC1593" s="10" t="s">
        <v>3883</v>
      </c>
    </row>
    <row r="1594" spans="1:32" ht="40" x14ac:dyDescent="0.2">
      <c r="A1594" s="17" t="s">
        <v>3921</v>
      </c>
      <c r="B1594" s="17" t="s">
        <v>45</v>
      </c>
      <c r="C1594" s="17">
        <v>2025</v>
      </c>
      <c r="D1594" s="17" t="str">
        <f t="array" ref="D1594">_xlfn.SWITCH(E1594,"Bagor","35.18.14","Sukomoro",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94" s="10" t="s">
        <v>45</v>
      </c>
      <c r="F1594" s="17" t="s">
        <v>3884</v>
      </c>
      <c r="G1594" s="17" t="s">
        <v>3885</v>
      </c>
      <c r="H1594" s="10" t="s">
        <v>3224</v>
      </c>
      <c r="I1594" s="273">
        <v>0</v>
      </c>
      <c r="J1594" s="273">
        <v>1</v>
      </c>
      <c r="K1594" s="274">
        <f t="shared" si="39"/>
        <v>1</v>
      </c>
      <c r="L1594" s="265">
        <v>3500000</v>
      </c>
      <c r="M1594" s="17" t="s">
        <v>3131</v>
      </c>
      <c r="N1594" s="13">
        <v>10</v>
      </c>
      <c r="O1594" s="10" t="s">
        <v>3808</v>
      </c>
      <c r="P1594" s="248">
        <v>3000000</v>
      </c>
      <c r="Q1594" s="17" t="s">
        <v>3886</v>
      </c>
      <c r="R1594" s="250">
        <v>10</v>
      </c>
      <c r="S1594" s="10" t="s">
        <v>422</v>
      </c>
      <c r="T1594" s="248">
        <v>1000000</v>
      </c>
      <c r="U1594" s="20"/>
      <c r="V1594" s="16" t="s">
        <v>3730</v>
      </c>
      <c r="W1594" s="250"/>
      <c r="X1594" s="10"/>
      <c r="Y1594" s="21" t="s">
        <v>3005</v>
      </c>
      <c r="Z1594" s="21"/>
      <c r="AA1594" s="21"/>
      <c r="AB1594" s="21"/>
      <c r="AC1594" s="10" t="s">
        <v>3887</v>
      </c>
    </row>
    <row r="1595" spans="1:32" ht="30" x14ac:dyDescent="0.2">
      <c r="A1595" s="17" t="s">
        <v>3921</v>
      </c>
      <c r="B1595" s="17" t="s">
        <v>45</v>
      </c>
      <c r="C1595" s="17">
        <v>2025</v>
      </c>
      <c r="D1595" s="17" t="str">
        <f t="array" ref="D1595">_xlfn.SWITCH(E1595,"Bagor","35.18.14","Sukomoro",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595" s="10" t="s">
        <v>149</v>
      </c>
      <c r="F1595" s="17" t="s">
        <v>3888</v>
      </c>
      <c r="G1595" s="17" t="s">
        <v>3889</v>
      </c>
      <c r="H1595" s="10" t="s">
        <v>3224</v>
      </c>
      <c r="I1595" s="273">
        <v>10</v>
      </c>
      <c r="J1595" s="273">
        <v>0</v>
      </c>
      <c r="K1595" s="274">
        <f t="shared" si="39"/>
        <v>10</v>
      </c>
      <c r="L1595" s="265">
        <v>50000000</v>
      </c>
      <c r="M1595" s="17" t="s">
        <v>341</v>
      </c>
      <c r="N1595" s="13">
        <v>60000</v>
      </c>
      <c r="O1595" s="10" t="s">
        <v>3808</v>
      </c>
      <c r="P1595" s="248">
        <f>N1595*13000</f>
        <v>780000000</v>
      </c>
      <c r="Q1595" s="17" t="s">
        <v>3890</v>
      </c>
      <c r="R1595" s="250">
        <v>90000</v>
      </c>
      <c r="S1595" s="10" t="s">
        <v>422</v>
      </c>
      <c r="T1595" s="248">
        <f>R1595*6100</f>
        <v>549000000</v>
      </c>
      <c r="U1595" s="20"/>
      <c r="V1595" s="16" t="s">
        <v>52</v>
      </c>
      <c r="W1595" s="250">
        <v>150</v>
      </c>
      <c r="X1595" s="10" t="s">
        <v>143</v>
      </c>
      <c r="Y1595" s="21" t="s">
        <v>3005</v>
      </c>
      <c r="Z1595" s="21"/>
      <c r="AA1595" s="21"/>
      <c r="AB1595" s="21"/>
      <c r="AC1595" s="10" t="s">
        <v>3891</v>
      </c>
    </row>
    <row r="1596" spans="1:32" ht="30" x14ac:dyDescent="0.2">
      <c r="A1596" s="17" t="s">
        <v>3921</v>
      </c>
      <c r="B1596" s="17" t="s">
        <v>45</v>
      </c>
      <c r="C1596" s="17">
        <v>2025</v>
      </c>
      <c r="D1596" s="17" t="str">
        <f t="array" ref="D1596">_xlfn.SWITCH(E1596,"Bagor","35.18.14","Sukomoro",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96" s="10" t="s">
        <v>103</v>
      </c>
      <c r="F1596" s="17" t="s">
        <v>3892</v>
      </c>
      <c r="G1596" s="17" t="s">
        <v>3893</v>
      </c>
      <c r="H1596" s="10" t="s">
        <v>991</v>
      </c>
      <c r="I1596" s="273">
        <v>0</v>
      </c>
      <c r="J1596" s="273">
        <v>11</v>
      </c>
      <c r="K1596" s="274">
        <f t="shared" si="39"/>
        <v>11</v>
      </c>
      <c r="L1596" s="265">
        <v>44554401707</v>
      </c>
      <c r="M1596" s="17" t="s">
        <v>3882</v>
      </c>
      <c r="N1596" s="13">
        <v>354864</v>
      </c>
      <c r="O1596" s="10" t="s">
        <v>3808</v>
      </c>
      <c r="P1596" s="248">
        <f>N1596*74000*12</f>
        <v>315119232000</v>
      </c>
      <c r="Q1596" s="17" t="s">
        <v>3635</v>
      </c>
      <c r="R1596" s="250">
        <v>376225</v>
      </c>
      <c r="S1596" s="10" t="s">
        <v>422</v>
      </c>
      <c r="T1596" s="248">
        <v>184400724841</v>
      </c>
      <c r="U1596" s="20"/>
      <c r="V1596" s="16"/>
      <c r="W1596" s="250"/>
      <c r="X1596" s="10"/>
      <c r="Y1596" s="21" t="s">
        <v>3005</v>
      </c>
      <c r="Z1596" s="21"/>
      <c r="AA1596" s="21"/>
      <c r="AB1596" s="21"/>
      <c r="AC1596" s="10" t="s">
        <v>3894</v>
      </c>
    </row>
    <row r="1597" spans="1:32" ht="40" x14ac:dyDescent="0.2">
      <c r="A1597" s="17" t="s">
        <v>3921</v>
      </c>
      <c r="B1597" s="17" t="s">
        <v>45</v>
      </c>
      <c r="C1597" s="17">
        <v>2025</v>
      </c>
      <c r="D1597" s="17" t="str">
        <f t="array" ref="D1597">_xlfn.SWITCH(E1597,"Bagor","35.18.14","Sukomoro",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597" s="10" t="s">
        <v>188</v>
      </c>
      <c r="F1597" s="17" t="s">
        <v>3895</v>
      </c>
      <c r="G1597" s="17" t="s">
        <v>3896</v>
      </c>
      <c r="H1597" s="10" t="s">
        <v>991</v>
      </c>
      <c r="I1597" s="273">
        <v>65</v>
      </c>
      <c r="J1597" s="273">
        <v>8</v>
      </c>
      <c r="K1597" s="274">
        <f t="shared" si="39"/>
        <v>73</v>
      </c>
      <c r="L1597" s="265">
        <v>96620000000</v>
      </c>
      <c r="M1597" s="17" t="s">
        <v>3897</v>
      </c>
      <c r="N1597" s="13">
        <v>180000</v>
      </c>
      <c r="O1597" s="10" t="s">
        <v>3033</v>
      </c>
      <c r="P1597" s="248">
        <f>N1597*1500000</f>
        <v>270000000000</v>
      </c>
      <c r="Q1597" s="17" t="s">
        <v>3898</v>
      </c>
      <c r="R1597" s="250">
        <v>135000</v>
      </c>
      <c r="S1597" s="10" t="s">
        <v>3033</v>
      </c>
      <c r="T1597" s="248">
        <f>R1597*950000</f>
        <v>128250000000</v>
      </c>
      <c r="U1597" s="20"/>
      <c r="V1597" s="16"/>
      <c r="W1597" s="250"/>
      <c r="X1597" s="10"/>
      <c r="Y1597" s="21" t="s">
        <v>3005</v>
      </c>
      <c r="Z1597" s="21"/>
      <c r="AA1597" s="21"/>
      <c r="AB1597" s="21"/>
      <c r="AC1597" s="10" t="s">
        <v>3899</v>
      </c>
    </row>
    <row r="1598" spans="1:32" ht="40" x14ac:dyDescent="0.2">
      <c r="A1598" s="17" t="s">
        <v>3921</v>
      </c>
      <c r="B1598" s="17" t="s">
        <v>45</v>
      </c>
      <c r="C1598" s="17">
        <v>2025</v>
      </c>
      <c r="D1598" s="17" t="str">
        <f t="array" ref="D1598">_xlfn.SWITCH(E1598,"Bagor","35.18.14","Sukomoro",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98" s="10" t="s">
        <v>29</v>
      </c>
      <c r="F1598" s="17" t="s">
        <v>3900</v>
      </c>
      <c r="G1598" s="17" t="s">
        <v>3901</v>
      </c>
      <c r="H1598" s="10" t="s">
        <v>3224</v>
      </c>
      <c r="I1598" s="273">
        <v>0</v>
      </c>
      <c r="J1598" s="273">
        <v>3</v>
      </c>
      <c r="K1598" s="274">
        <f t="shared" si="39"/>
        <v>3</v>
      </c>
      <c r="L1598" s="265">
        <v>5000000</v>
      </c>
      <c r="M1598" s="17" t="s">
        <v>3902</v>
      </c>
      <c r="N1598" s="13">
        <v>550</v>
      </c>
      <c r="O1598" s="10" t="s">
        <v>3033</v>
      </c>
      <c r="P1598" s="248">
        <v>11250000</v>
      </c>
      <c r="Q1598" s="17" t="s">
        <v>3903</v>
      </c>
      <c r="R1598" s="250">
        <v>35</v>
      </c>
      <c r="S1598" s="10" t="s">
        <v>422</v>
      </c>
      <c r="T1598" s="248">
        <v>3100000</v>
      </c>
      <c r="U1598" s="20"/>
      <c r="V1598" s="16"/>
      <c r="W1598" s="250"/>
      <c r="X1598" s="10"/>
      <c r="Y1598" s="21" t="s">
        <v>3005</v>
      </c>
      <c r="Z1598" s="21"/>
      <c r="AA1598" s="21"/>
      <c r="AB1598" s="21"/>
      <c r="AC1598" s="10" t="s">
        <v>3904</v>
      </c>
    </row>
    <row r="1599" spans="1:32" ht="40" x14ac:dyDescent="0.2">
      <c r="A1599" s="17" t="s">
        <v>3921</v>
      </c>
      <c r="B1599" s="17" t="s">
        <v>45</v>
      </c>
      <c r="C1599" s="17">
        <v>2025</v>
      </c>
      <c r="D1599" s="17" t="str">
        <f t="array" ref="D1599">_xlfn.SWITCH(E1599,"Jatikalen","35.18.20","Kertosono", "35.18.08","Lengkong","35.18.19","Loceret","35.18.04","Tanjunganom","35.18.11","Wilangan","35.18.15")</f>
        <v>35.18.19</v>
      </c>
      <c r="E1599" s="10" t="s">
        <v>64</v>
      </c>
      <c r="F1599" s="17" t="s">
        <v>3905</v>
      </c>
      <c r="G1599" s="17" t="s">
        <v>3906</v>
      </c>
      <c r="H1599" s="10" t="s">
        <v>991</v>
      </c>
      <c r="I1599" s="273">
        <v>100</v>
      </c>
      <c r="J1599" s="273">
        <v>0</v>
      </c>
      <c r="K1599" s="274">
        <f t="shared" si="39"/>
        <v>100</v>
      </c>
      <c r="L1599" s="265">
        <v>150000000000</v>
      </c>
      <c r="M1599" s="17" t="s">
        <v>3907</v>
      </c>
      <c r="N1599" s="275">
        <v>80196480</v>
      </c>
      <c r="O1599" s="10" t="s">
        <v>1672</v>
      </c>
      <c r="P1599" s="248">
        <v>220621351000</v>
      </c>
      <c r="Q1599" s="17" t="s">
        <v>3908</v>
      </c>
      <c r="R1599" s="250">
        <v>2500</v>
      </c>
      <c r="S1599" s="10" t="s">
        <v>962</v>
      </c>
      <c r="T1599" s="248">
        <f>R1599*75000000</f>
        <v>187500000000</v>
      </c>
      <c r="U1599" s="20"/>
      <c r="V1599" s="16"/>
      <c r="W1599" s="250"/>
      <c r="X1599" s="10"/>
      <c r="Y1599" s="21" t="s">
        <v>3005</v>
      </c>
      <c r="Z1599" s="21"/>
      <c r="AA1599" s="21"/>
      <c r="AB1599" s="21"/>
      <c r="AC1599" s="10" t="s">
        <v>3909</v>
      </c>
    </row>
    <row r="1600" spans="1:32" ht="30" x14ac:dyDescent="0.2">
      <c r="A1600" s="17" t="s">
        <v>3921</v>
      </c>
      <c r="B1600" s="17" t="s">
        <v>45</v>
      </c>
      <c r="C1600" s="17">
        <v>2025</v>
      </c>
      <c r="D1600" s="17" t="str">
        <f t="array" ref="D1600">_xlfn.SWITCH(E1600,"Bagor","35.18.14","Sukomoro",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600" s="10" t="s">
        <v>114</v>
      </c>
      <c r="F1600" s="17" t="s">
        <v>3910</v>
      </c>
      <c r="G1600" s="17" t="s">
        <v>3911</v>
      </c>
      <c r="H1600" s="10" t="s">
        <v>991</v>
      </c>
      <c r="I1600" s="273">
        <v>105</v>
      </c>
      <c r="J1600" s="273">
        <v>180</v>
      </c>
      <c r="K1600" s="274">
        <f t="shared" si="39"/>
        <v>285</v>
      </c>
      <c r="L1600" s="265">
        <v>180000000000</v>
      </c>
      <c r="M1600" s="17" t="s">
        <v>3912</v>
      </c>
      <c r="N1600" s="275">
        <v>2018131</v>
      </c>
      <c r="O1600" s="10" t="s">
        <v>3808</v>
      </c>
      <c r="P1600" s="248">
        <v>253722869300</v>
      </c>
      <c r="Q1600" s="17" t="s">
        <v>3913</v>
      </c>
      <c r="R1600" s="250">
        <v>2018131</v>
      </c>
      <c r="S1600" s="10" t="s">
        <v>3914</v>
      </c>
      <c r="T1600" s="248">
        <v>201891434196</v>
      </c>
      <c r="U1600" s="20"/>
      <c r="V1600" s="276" t="s">
        <v>3915</v>
      </c>
      <c r="W1600" s="250">
        <v>9037</v>
      </c>
      <c r="X1600" s="10" t="s">
        <v>3916</v>
      </c>
      <c r="Y1600" s="21" t="s">
        <v>3005</v>
      </c>
      <c r="Z1600" s="21"/>
      <c r="AA1600" s="21"/>
      <c r="AB1600" s="21"/>
      <c r="AC1600" s="10" t="s">
        <v>3917</v>
      </c>
    </row>
    <row r="1601" spans="3:84" x14ac:dyDescent="0.2">
      <c r="C1601" s="2"/>
      <c r="Q1601" s="7"/>
      <c r="R1601" s="7"/>
      <c r="S1601" s="7"/>
    </row>
    <row r="1602" spans="3:84" x14ac:dyDescent="0.2">
      <c r="AC1602" s="3"/>
    </row>
    <row r="1603" spans="3:84" x14ac:dyDescent="0.2">
      <c r="AC1603" s="3"/>
    </row>
    <row r="1604" spans="3:84" x14ac:dyDescent="0.2">
      <c r="AC1604" s="3"/>
    </row>
    <row r="1605" spans="3:84" s="3" customFormat="1" x14ac:dyDescent="0.2">
      <c r="D1605" s="277"/>
      <c r="E1605" s="277"/>
      <c r="F1605" s="277"/>
      <c r="G1605" s="1"/>
      <c r="L1605" s="5"/>
      <c r="M1605" s="4"/>
      <c r="N1605" s="5"/>
      <c r="P1605" s="7"/>
      <c r="Q1605" s="4"/>
      <c r="R1605" s="6"/>
      <c r="T1605" s="7"/>
      <c r="AE1605" s="1"/>
      <c r="AF1605" s="2"/>
      <c r="AG1605" s="1"/>
      <c r="AH1605" s="1"/>
      <c r="AI1605" s="1"/>
      <c r="AJ1605" s="1"/>
      <c r="AK1605" s="1"/>
      <c r="AL1605" s="1"/>
      <c r="AM1605" s="1"/>
      <c r="AN1605" s="1"/>
      <c r="AO1605" s="1"/>
      <c r="AP1605" s="1"/>
      <c r="AQ1605" s="1"/>
      <c r="AR1605" s="1"/>
      <c r="AS1605" s="1"/>
      <c r="AT1605" s="1"/>
      <c r="AU1605" s="1"/>
      <c r="AV1605" s="1"/>
      <c r="AW1605" s="1"/>
      <c r="AX1605" s="1"/>
      <c r="AY1605" s="1"/>
      <c r="AZ1605" s="1"/>
      <c r="BA1605" s="1"/>
      <c r="BB1605" s="1"/>
      <c r="BC1605" s="1"/>
      <c r="BD1605" s="1"/>
      <c r="BE1605" s="1"/>
      <c r="BF1605" s="1"/>
      <c r="BG1605" s="1"/>
      <c r="BH1605" s="1"/>
      <c r="BI1605" s="1"/>
      <c r="BJ1605" s="1"/>
      <c r="BK1605" s="1"/>
      <c r="BL1605" s="1"/>
      <c r="BM1605" s="1"/>
      <c r="BN1605" s="1"/>
      <c r="BO1605" s="1"/>
      <c r="BP1605" s="1"/>
      <c r="BQ1605" s="1"/>
      <c r="BR1605" s="1"/>
      <c r="BS1605" s="1"/>
      <c r="BT1605" s="1"/>
      <c r="BU1605" s="1"/>
      <c r="BV1605" s="1"/>
      <c r="BW1605" s="1"/>
      <c r="BX1605" s="1"/>
      <c r="BY1605" s="1"/>
      <c r="BZ1605" s="1"/>
      <c r="CA1605" s="1"/>
      <c r="CB1605" s="1"/>
      <c r="CC1605" s="1"/>
      <c r="CD1605" s="1"/>
      <c r="CE1605" s="1"/>
      <c r="CF1605" s="1"/>
    </row>
    <row r="1606" spans="3:84" s="3" customFormat="1" x14ac:dyDescent="0.2">
      <c r="D1606" s="277"/>
      <c r="E1606" s="277"/>
      <c r="F1606" s="277"/>
      <c r="G1606" s="1"/>
      <c r="L1606" s="5"/>
      <c r="M1606" s="4"/>
      <c r="N1606" s="5"/>
      <c r="P1606" s="7"/>
      <c r="Q1606" s="4"/>
      <c r="R1606" s="6"/>
      <c r="T1606" s="7"/>
      <c r="AE1606" s="1"/>
      <c r="AF1606" s="2"/>
      <c r="AG1606" s="1"/>
      <c r="AH1606" s="1"/>
      <c r="AI1606" s="1"/>
      <c r="AJ1606" s="1"/>
      <c r="AK1606" s="1"/>
      <c r="AL1606" s="1"/>
      <c r="AM1606" s="1"/>
      <c r="AN1606" s="1"/>
      <c r="AO1606" s="1"/>
      <c r="AP1606" s="1"/>
      <c r="AQ1606" s="1"/>
      <c r="AR1606" s="1"/>
      <c r="AS1606" s="1"/>
      <c r="AT1606" s="1"/>
      <c r="AU1606" s="1"/>
      <c r="AV1606" s="1"/>
      <c r="AW1606" s="1"/>
      <c r="AX1606" s="1"/>
      <c r="AY1606" s="1"/>
      <c r="AZ1606" s="1"/>
      <c r="BA1606" s="1"/>
      <c r="BB1606" s="1"/>
      <c r="BC1606" s="1"/>
      <c r="BD1606" s="1"/>
      <c r="BE1606" s="1"/>
      <c r="BF1606" s="1"/>
      <c r="BG1606" s="1"/>
      <c r="BH1606" s="1"/>
      <c r="BI1606" s="1"/>
      <c r="BJ1606" s="1"/>
      <c r="BK1606" s="1"/>
      <c r="BL1606" s="1"/>
      <c r="BM1606" s="1"/>
      <c r="BN1606" s="1"/>
      <c r="BO1606" s="1"/>
      <c r="BP1606" s="1"/>
      <c r="BQ1606" s="1"/>
      <c r="BR1606" s="1"/>
      <c r="BS1606" s="1"/>
      <c r="BT1606" s="1"/>
      <c r="BU1606" s="1"/>
      <c r="BV1606" s="1"/>
      <c r="BW1606" s="1"/>
      <c r="BX1606" s="1"/>
      <c r="BY1606" s="1"/>
      <c r="BZ1606" s="1"/>
      <c r="CA1606" s="1"/>
      <c r="CB1606" s="1"/>
      <c r="CC1606" s="1"/>
      <c r="CD1606" s="1"/>
      <c r="CE1606" s="1"/>
      <c r="CF1606" s="1"/>
    </row>
    <row r="1607" spans="3:84" s="3" customFormat="1" x14ac:dyDescent="0.2">
      <c r="D1607" s="277"/>
      <c r="E1607" s="277"/>
      <c r="F1607" s="277"/>
      <c r="G1607" s="1"/>
      <c r="L1607" s="5"/>
      <c r="M1607" s="4"/>
      <c r="N1607" s="5"/>
      <c r="P1607" s="7"/>
      <c r="Q1607" s="4"/>
      <c r="R1607" s="6"/>
      <c r="T1607" s="7"/>
      <c r="AE1607" s="1"/>
      <c r="AF1607" s="2"/>
      <c r="AG1607" s="1"/>
      <c r="AH1607" s="1"/>
      <c r="AI1607" s="1"/>
      <c r="AJ1607" s="1"/>
      <c r="AK1607" s="1"/>
      <c r="AL1607" s="1"/>
      <c r="AM1607" s="1"/>
      <c r="AN1607" s="1"/>
      <c r="AO1607" s="1"/>
      <c r="AP1607" s="1"/>
      <c r="AQ1607" s="1"/>
      <c r="AR1607" s="1"/>
      <c r="AS1607" s="1"/>
      <c r="AT1607" s="1"/>
      <c r="AU1607" s="1"/>
      <c r="AV1607" s="1"/>
      <c r="AW1607" s="1"/>
      <c r="AX1607" s="1"/>
      <c r="AY1607" s="1"/>
      <c r="AZ1607" s="1"/>
      <c r="BA1607" s="1"/>
      <c r="BB1607" s="1"/>
      <c r="BC1607" s="1"/>
      <c r="BD1607" s="1"/>
      <c r="BE1607" s="1"/>
      <c r="BF1607" s="1"/>
      <c r="BG1607" s="1"/>
      <c r="BH1607" s="1"/>
      <c r="BI1607" s="1"/>
      <c r="BJ1607" s="1"/>
      <c r="BK1607" s="1"/>
      <c r="BL1607" s="1"/>
      <c r="BM1607" s="1"/>
      <c r="BN1607" s="1"/>
      <c r="BO1607" s="1"/>
      <c r="BP1607" s="1"/>
      <c r="BQ1607" s="1"/>
      <c r="BR1607" s="1"/>
      <c r="BS1607" s="1"/>
      <c r="BT1607" s="1"/>
      <c r="BU1607" s="1"/>
      <c r="BV1607" s="1"/>
      <c r="BW1607" s="1"/>
      <c r="BX1607" s="1"/>
      <c r="BY1607" s="1"/>
      <c r="BZ1607" s="1"/>
      <c r="CA1607" s="1"/>
      <c r="CB1607" s="1"/>
      <c r="CC1607" s="1"/>
      <c r="CD1607" s="1"/>
      <c r="CE1607" s="1"/>
      <c r="CF1607" s="1"/>
    </row>
    <row r="1608" spans="3:84" s="3" customFormat="1" x14ac:dyDescent="0.2">
      <c r="D1608" s="277"/>
      <c r="E1608" s="277"/>
      <c r="F1608" s="277"/>
      <c r="G1608" s="1"/>
      <c r="L1608" s="5"/>
      <c r="M1608" s="4"/>
      <c r="N1608" s="5"/>
      <c r="P1608" s="7"/>
      <c r="Q1608" s="4"/>
      <c r="R1608" s="6"/>
      <c r="T1608" s="7"/>
      <c r="AE1608" s="1"/>
      <c r="AF1608" s="2"/>
      <c r="AG1608" s="1"/>
      <c r="AH1608" s="1"/>
      <c r="AI1608" s="1"/>
      <c r="AJ1608" s="1"/>
      <c r="AK1608" s="1"/>
      <c r="AL1608" s="1"/>
      <c r="AM1608" s="1"/>
      <c r="AN1608" s="1"/>
      <c r="AO1608" s="1"/>
      <c r="AP1608" s="1"/>
      <c r="AQ1608" s="1"/>
      <c r="AR1608" s="1"/>
      <c r="AS1608" s="1"/>
      <c r="AT1608" s="1"/>
      <c r="AU1608" s="1"/>
      <c r="AV1608" s="1"/>
      <c r="AW1608" s="1"/>
      <c r="AX1608" s="1"/>
      <c r="AY1608" s="1"/>
      <c r="AZ1608" s="1"/>
      <c r="BA1608" s="1"/>
      <c r="BB1608" s="1"/>
      <c r="BC1608" s="1"/>
      <c r="BD1608" s="1"/>
      <c r="BE1608" s="1"/>
      <c r="BF1608" s="1"/>
      <c r="BG1608" s="1"/>
      <c r="BH1608" s="1"/>
      <c r="BI1608" s="1"/>
      <c r="BJ1608" s="1"/>
      <c r="BK1608" s="1"/>
      <c r="BL1608" s="1"/>
      <c r="BM1608" s="1"/>
      <c r="BN1608" s="1"/>
      <c r="BO1608" s="1"/>
      <c r="BP1608" s="1"/>
      <c r="BQ1608" s="1"/>
      <c r="BR1608" s="1"/>
      <c r="BS1608" s="1"/>
      <c r="BT1608" s="1"/>
      <c r="BU1608" s="1"/>
      <c r="BV1608" s="1"/>
      <c r="BW1608" s="1"/>
      <c r="BX1608" s="1"/>
      <c r="BY1608" s="1"/>
      <c r="BZ1608" s="1"/>
      <c r="CA1608" s="1"/>
      <c r="CB1608" s="1"/>
      <c r="CC1608" s="1"/>
      <c r="CD1608" s="1"/>
      <c r="CE1608" s="1"/>
      <c r="CF1608" s="1"/>
    </row>
    <row r="1609" spans="3:84" s="3" customFormat="1" x14ac:dyDescent="0.2">
      <c r="D1609" s="277"/>
      <c r="E1609" s="277"/>
      <c r="F1609" s="277"/>
      <c r="G1609" s="1"/>
      <c r="L1609" s="5"/>
      <c r="M1609" s="4"/>
      <c r="N1609" s="5"/>
      <c r="P1609" s="7"/>
      <c r="Q1609" s="4"/>
      <c r="R1609" s="6"/>
      <c r="T1609" s="7"/>
      <c r="AE1609" s="1"/>
      <c r="AF1609" s="2"/>
      <c r="AG1609" s="1"/>
      <c r="AH1609" s="1"/>
      <c r="AI1609" s="1"/>
      <c r="AJ1609" s="1"/>
      <c r="AK1609" s="1"/>
      <c r="AL1609" s="1"/>
      <c r="AM1609" s="1"/>
      <c r="AN1609" s="1"/>
      <c r="AO1609" s="1"/>
      <c r="AP1609" s="1"/>
      <c r="AQ1609" s="1"/>
      <c r="AR1609" s="1"/>
      <c r="AS1609" s="1"/>
      <c r="AT1609" s="1"/>
      <c r="AU1609" s="1"/>
      <c r="AV1609" s="1"/>
      <c r="AW1609" s="1"/>
      <c r="AX1609" s="1"/>
      <c r="AY1609" s="1"/>
      <c r="AZ1609" s="1"/>
      <c r="BA1609" s="1"/>
      <c r="BB1609" s="1"/>
      <c r="BC1609" s="1"/>
      <c r="BD1609" s="1"/>
      <c r="BE1609" s="1"/>
      <c r="BF1609" s="1"/>
      <c r="BG1609" s="1"/>
      <c r="BH1609" s="1"/>
      <c r="BI1609" s="1"/>
      <c r="BJ1609" s="1"/>
      <c r="BK1609" s="1"/>
      <c r="BL1609" s="1"/>
      <c r="BM1609" s="1"/>
      <c r="BN1609" s="1"/>
      <c r="BO1609" s="1"/>
      <c r="BP1609" s="1"/>
      <c r="BQ1609" s="1"/>
      <c r="BR1609" s="1"/>
      <c r="BS1609" s="1"/>
      <c r="BT1609" s="1"/>
      <c r="BU1609" s="1"/>
      <c r="BV1609" s="1"/>
      <c r="BW1609" s="1"/>
      <c r="BX1609" s="1"/>
      <c r="BY1609" s="1"/>
      <c r="BZ1609" s="1"/>
      <c r="CA1609" s="1"/>
      <c r="CB1609" s="1"/>
      <c r="CC1609" s="1"/>
      <c r="CD1609" s="1"/>
      <c r="CE1609" s="1"/>
      <c r="CF1609" s="1"/>
    </row>
    <row r="1610" spans="3:84" s="3" customFormat="1" x14ac:dyDescent="0.2">
      <c r="D1610" s="277"/>
      <c r="E1610" s="277"/>
      <c r="F1610" s="277"/>
      <c r="G1610" s="1"/>
      <c r="L1610" s="5"/>
      <c r="M1610" s="4"/>
      <c r="N1610" s="5"/>
      <c r="P1610" s="7"/>
      <c r="Q1610" s="4"/>
      <c r="R1610" s="6"/>
      <c r="T1610" s="7"/>
      <c r="AE1610" s="1"/>
      <c r="AF1610" s="2"/>
      <c r="AG1610" s="1"/>
      <c r="AH1610" s="1"/>
      <c r="AI1610" s="1"/>
      <c r="AJ1610" s="1"/>
      <c r="AK1610" s="1"/>
      <c r="AL1610" s="1"/>
      <c r="AM1610" s="1"/>
      <c r="AN1610" s="1"/>
      <c r="AO1610" s="1"/>
      <c r="AP1610" s="1"/>
      <c r="AQ1610" s="1"/>
      <c r="AR1610" s="1"/>
      <c r="AS1610" s="1"/>
      <c r="AT1610" s="1"/>
      <c r="AU1610" s="1"/>
      <c r="AV1610" s="1"/>
      <c r="AW1610" s="1"/>
      <c r="AX1610" s="1"/>
      <c r="AY1610" s="1"/>
      <c r="AZ1610" s="1"/>
      <c r="BA1610" s="1"/>
      <c r="BB1610" s="1"/>
      <c r="BC1610" s="1"/>
      <c r="BD1610" s="1"/>
      <c r="BE1610" s="1"/>
      <c r="BF1610" s="1"/>
      <c r="BG1610" s="1"/>
      <c r="BH1610" s="1"/>
      <c r="BI1610" s="1"/>
      <c r="BJ1610" s="1"/>
      <c r="BK1610" s="1"/>
      <c r="BL1610" s="1"/>
      <c r="BM1610" s="1"/>
      <c r="BN1610" s="1"/>
      <c r="BO1610" s="1"/>
      <c r="BP1610" s="1"/>
      <c r="BQ1610" s="1"/>
      <c r="BR1610" s="1"/>
      <c r="BS1610" s="1"/>
      <c r="BT1610" s="1"/>
      <c r="BU1610" s="1"/>
      <c r="BV1610" s="1"/>
      <c r="BW1610" s="1"/>
      <c r="BX1610" s="1"/>
      <c r="BY1610" s="1"/>
      <c r="BZ1610" s="1"/>
      <c r="CA1610" s="1"/>
      <c r="CB1610" s="1"/>
      <c r="CC1610" s="1"/>
      <c r="CD1610" s="1"/>
      <c r="CE1610" s="1"/>
      <c r="CF1610" s="1"/>
    </row>
  </sheetData>
  <autoFilter ref="A2:AC2" xr:uid="{76785F78-C6A8-4D1E-866F-6FC7DA2C5F68}"/>
  <mergeCells count="8">
    <mergeCell ref="I1:K1"/>
    <mergeCell ref="A1:H1"/>
    <mergeCell ref="AD1:AD2"/>
    <mergeCell ref="AE1:AE2"/>
    <mergeCell ref="M1:P1"/>
    <mergeCell ref="Q1:U1"/>
    <mergeCell ref="V1:X1"/>
    <mergeCell ref="Y1:AB1"/>
  </mergeCells>
  <pageMargins left="0.23622047244094491" right="0.19685039370078741" top="0.47244094488188981" bottom="0.2" header="0.11811023622047245" footer="0.13"/>
  <pageSetup paperSize="9" scale="45" orientation="landscape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KK-4</vt:lpstr>
      <vt:lpstr>'KK-4'!Print_Area</vt:lpstr>
      <vt:lpstr>'KK-4'!Print_Titles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2026-02-10T02:26:23Z</dcterms:created>
  <dcterms:modified xsi:type="dcterms:W3CDTF">2026-02-25T03:27:28Z</dcterms:modified>
</cp:coreProperties>
</file>