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7A76D4DB-08EA-4907-9003-9C27F8004AC3}" xr6:coauthVersionLast="47" xr6:coauthVersionMax="47" xr10:uidLastSave="{00000000-0000-0000-0000-000000000000}"/>
  <bookViews>
    <workbookView xWindow="1860" yWindow="1750" windowWidth="12580" windowHeight="8670" xr2:uid="{43F4E8AF-5709-4B87-8189-B85A48448E09}"/>
  </bookViews>
  <sheets>
    <sheet name="KK-17" sheetId="1" r:id="rId1"/>
  </sheets>
  <definedNames>
    <definedName name="_xlnm.Print_Area" localSheetId="0">'KK-17'!$D$1:$L$1602</definedName>
    <definedName name="_xlnm.Print_Titles" localSheetId="0">'KK-17'!$D:$G,'KK-17'!$1:$1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99" i="1" l="1" a="1"/>
  <c r="D1599" i="1" s="1"/>
  <c r="D1598" i="1" a="1"/>
  <c r="D1598" i="1" s="1"/>
  <c r="D1597" i="1" a="1"/>
  <c r="D1597" i="1" s="1"/>
  <c r="L1596" i="1"/>
  <c r="D1596" i="1" a="1"/>
  <c r="D1596" i="1" s="1"/>
  <c r="L1595" i="1"/>
  <c r="D1595" i="1" a="1"/>
  <c r="D1595" i="1" s="1"/>
  <c r="L1594" i="1"/>
  <c r="D1594" i="1" a="1"/>
  <c r="D1594" i="1" s="1"/>
  <c r="D1593" i="1" a="1"/>
  <c r="D1593" i="1" s="1"/>
  <c r="D1592" i="1" a="1"/>
  <c r="D1592" i="1" s="1"/>
  <c r="L1591" i="1"/>
  <c r="D1591" i="1" a="1"/>
  <c r="D1591" i="1" s="1"/>
  <c r="D1590" i="1" a="1"/>
  <c r="D1590" i="1" s="1"/>
  <c r="D1589" i="1" a="1"/>
  <c r="D1589" i="1" s="1"/>
  <c r="D1588" i="1" a="1"/>
  <c r="D1588" i="1" s="1"/>
  <c r="D1587" i="1" a="1"/>
  <c r="D1587" i="1" s="1"/>
  <c r="D1586" i="1" a="1"/>
  <c r="D1586" i="1" s="1"/>
  <c r="D1585" i="1" a="1"/>
  <c r="D1585" i="1" s="1"/>
  <c r="D1584" i="1" a="1"/>
  <c r="D1584" i="1" s="1"/>
  <c r="D1583" i="1" a="1"/>
  <c r="D1583" i="1" s="1"/>
  <c r="D1582" i="1" a="1"/>
  <c r="D1582" i="1" s="1"/>
  <c r="L1581" i="1"/>
  <c r="D1581" i="1" a="1"/>
  <c r="D1581" i="1" s="1"/>
  <c r="D1580" i="1" a="1"/>
  <c r="D1580" i="1" s="1"/>
  <c r="D1579" i="1" a="1"/>
  <c r="D1579" i="1" s="1"/>
  <c r="D1578" i="1" a="1"/>
  <c r="D1578" i="1" s="1"/>
  <c r="L1577" i="1"/>
  <c r="J1577" i="1"/>
  <c r="D1577" i="1" a="1"/>
  <c r="D1577" i="1" s="1"/>
  <c r="D1576" i="1" a="1"/>
  <c r="D1576" i="1" s="1"/>
  <c r="L1575" i="1"/>
  <c r="D1575" i="1" a="1"/>
  <c r="D1575" i="1" s="1"/>
  <c r="D1574" i="1" a="1"/>
  <c r="D1574" i="1" s="1"/>
  <c r="D1573" i="1" a="1"/>
  <c r="D1573" i="1" s="1"/>
  <c r="D1572" i="1" a="1"/>
  <c r="D1572" i="1" s="1"/>
  <c r="D1571" i="1" a="1"/>
  <c r="D1571" i="1" s="1"/>
  <c r="L1570" i="1"/>
  <c r="D1570" i="1" a="1"/>
  <c r="D1570" i="1" s="1"/>
  <c r="D1569" i="1" a="1"/>
  <c r="D1569" i="1" s="1"/>
  <c r="D1568" i="1" a="1"/>
  <c r="D1568" i="1" s="1"/>
  <c r="D1567" i="1" a="1"/>
  <c r="D1567" i="1" s="1"/>
  <c r="D1566" i="1" a="1"/>
  <c r="D1566" i="1" s="1"/>
  <c r="D1565" i="1" a="1"/>
  <c r="D1565" i="1" s="1"/>
  <c r="D1564" i="1" a="1"/>
  <c r="D1564" i="1" s="1"/>
  <c r="D1563" i="1" a="1"/>
  <c r="D1563" i="1" s="1"/>
  <c r="L1562" i="1"/>
  <c r="D1562" i="1" a="1"/>
  <c r="D1562" i="1" s="1"/>
  <c r="L1561" i="1"/>
  <c r="D1561" i="1" a="1"/>
  <c r="D1561" i="1" s="1"/>
  <c r="L1560" i="1"/>
  <c r="D1560" i="1" a="1"/>
  <c r="D1560" i="1" s="1"/>
  <c r="L1559" i="1"/>
  <c r="D1559" i="1" a="1"/>
  <c r="D1559" i="1" s="1"/>
  <c r="D1558" i="1" a="1"/>
  <c r="D1558" i="1" s="1"/>
  <c r="D1557" i="1" a="1"/>
  <c r="D1557" i="1" s="1"/>
  <c r="L1556" i="1"/>
  <c r="D1556" i="1" a="1"/>
  <c r="D1556" i="1" s="1"/>
  <c r="L1555" i="1"/>
  <c r="D1555" i="1" a="1"/>
  <c r="D1555" i="1" s="1"/>
  <c r="L1554" i="1"/>
  <c r="D1554" i="1" a="1"/>
  <c r="D1554" i="1" s="1"/>
  <c r="D1553" i="1" a="1"/>
  <c r="D1553" i="1" s="1"/>
  <c r="D1552" i="1" a="1"/>
  <c r="D1552" i="1" s="1"/>
  <c r="L1551" i="1"/>
  <c r="D1551" i="1" a="1"/>
  <c r="D1551" i="1" s="1"/>
  <c r="L1550" i="1"/>
  <c r="D1550" i="1" a="1"/>
  <c r="D1550" i="1" s="1"/>
  <c r="D1549" i="1" a="1"/>
  <c r="D1549" i="1" s="1"/>
  <c r="L1548" i="1"/>
  <c r="D1548" i="1" a="1"/>
  <c r="D1548" i="1" s="1"/>
  <c r="D1547" i="1" a="1"/>
  <c r="D1547" i="1" s="1"/>
  <c r="D1546" i="1" a="1"/>
  <c r="D1546" i="1" s="1"/>
  <c r="D1545" i="1" a="1"/>
  <c r="D1545" i="1" s="1"/>
  <c r="D1544" i="1" a="1"/>
  <c r="D1544" i="1" s="1"/>
  <c r="L1543" i="1"/>
  <c r="D1543" i="1" a="1"/>
  <c r="D1543" i="1" s="1"/>
  <c r="D1542" i="1" a="1"/>
  <c r="D1542" i="1" s="1"/>
  <c r="D1541" i="1" a="1"/>
  <c r="D1541" i="1" s="1"/>
  <c r="D1540" i="1" a="1"/>
  <c r="D1540" i="1" s="1"/>
  <c r="D1539" i="1" a="1"/>
  <c r="D1539" i="1" s="1"/>
  <c r="D1538" i="1" a="1"/>
  <c r="D1538" i="1" s="1"/>
  <c r="L1537" i="1"/>
  <c r="D1537" i="1" a="1"/>
  <c r="D1537" i="1" s="1"/>
  <c r="L1536" i="1"/>
  <c r="D1536" i="1" a="1"/>
  <c r="D1536" i="1" s="1"/>
  <c r="L1535" i="1"/>
  <c r="D1535" i="1" a="1"/>
  <c r="D1535" i="1" s="1"/>
  <c r="L1534" i="1"/>
  <c r="D1534" i="1" a="1"/>
  <c r="D1534" i="1" s="1"/>
  <c r="L1533" i="1"/>
  <c r="D1533" i="1" a="1"/>
  <c r="D1533" i="1" s="1"/>
  <c r="D1532" i="1" a="1"/>
  <c r="D1532" i="1" s="1"/>
  <c r="D1531" i="1" a="1"/>
  <c r="D1531" i="1" s="1"/>
  <c r="D1530" i="1" a="1"/>
  <c r="D1530" i="1" s="1"/>
  <c r="D1529" i="1" a="1"/>
  <c r="D1529" i="1" s="1"/>
  <c r="D1528" i="1" a="1"/>
  <c r="D1528" i="1" s="1"/>
  <c r="D1527" i="1" a="1"/>
  <c r="D1527" i="1" s="1"/>
  <c r="D1526" i="1" a="1"/>
  <c r="D1526" i="1" s="1"/>
  <c r="D1525" i="1" a="1"/>
  <c r="D1525" i="1" s="1"/>
  <c r="D1524" i="1" a="1"/>
  <c r="D1524" i="1" s="1"/>
  <c r="D1523" i="1" a="1"/>
  <c r="D1523" i="1" s="1"/>
  <c r="D1522" i="1" a="1"/>
  <c r="D1522" i="1" s="1"/>
  <c r="D1521" i="1" a="1"/>
  <c r="D1521" i="1" s="1"/>
  <c r="D1520" i="1" a="1"/>
  <c r="D1520" i="1" s="1"/>
  <c r="D1519" i="1" a="1"/>
  <c r="D1519" i="1" s="1"/>
  <c r="D1518" i="1" a="1"/>
  <c r="D1518" i="1" s="1"/>
  <c r="D1517" i="1" a="1"/>
  <c r="D1517" i="1" s="1"/>
  <c r="D1516" i="1" a="1"/>
  <c r="D1516" i="1" s="1"/>
  <c r="D1515" i="1" a="1"/>
  <c r="D1515" i="1" s="1"/>
  <c r="D1514" i="1" a="1"/>
  <c r="D1514" i="1" s="1"/>
  <c r="D1513" i="1" a="1"/>
  <c r="D1513" i="1" s="1"/>
  <c r="D1512" i="1" a="1"/>
  <c r="D1512" i="1" s="1"/>
  <c r="D1511" i="1" a="1"/>
  <c r="D1511" i="1" s="1"/>
  <c r="D1510" i="1" a="1"/>
  <c r="D1510" i="1" s="1"/>
  <c r="D1509" i="1" a="1"/>
  <c r="D1509" i="1" s="1"/>
  <c r="D1508" i="1" a="1"/>
  <c r="D1508" i="1" s="1"/>
  <c r="D1507" i="1" a="1"/>
  <c r="D1507" i="1" s="1"/>
  <c r="D1506" i="1" a="1"/>
  <c r="D1506" i="1" s="1"/>
  <c r="D1505" i="1" a="1"/>
  <c r="D1505" i="1" s="1"/>
  <c r="D1504" i="1" a="1"/>
  <c r="D1504" i="1" s="1"/>
  <c r="D1503" i="1" a="1"/>
  <c r="D1503" i="1" s="1"/>
  <c r="D1502" i="1" a="1"/>
  <c r="D1502" i="1" s="1"/>
  <c r="D1501" i="1" a="1"/>
  <c r="D1501" i="1" s="1"/>
  <c r="D1500" i="1" a="1"/>
  <c r="D1500" i="1" s="1"/>
  <c r="D1499" i="1" a="1"/>
  <c r="D1499" i="1" s="1"/>
  <c r="D1498" i="1" a="1"/>
  <c r="D1498" i="1" s="1"/>
  <c r="D1497" i="1" a="1"/>
  <c r="D1497" i="1" s="1"/>
  <c r="D1496" i="1" a="1"/>
  <c r="D1496" i="1" s="1"/>
  <c r="D1495" i="1" a="1"/>
  <c r="D1495" i="1" s="1"/>
  <c r="D1494" i="1" a="1"/>
  <c r="D1494" i="1" s="1"/>
  <c r="D1493" i="1" a="1"/>
  <c r="D1493" i="1" s="1"/>
  <c r="D1492" i="1" a="1"/>
  <c r="D1492" i="1" s="1"/>
  <c r="D1491" i="1" a="1"/>
  <c r="D1491" i="1" s="1"/>
  <c r="D1490" i="1" a="1"/>
  <c r="D1490" i="1" s="1"/>
  <c r="D1489" i="1" a="1"/>
  <c r="D1489" i="1" s="1"/>
  <c r="D1488" i="1" a="1"/>
  <c r="D1488" i="1" s="1"/>
  <c r="D1487" i="1" a="1"/>
  <c r="D1487" i="1" s="1"/>
  <c r="D1486" i="1" a="1"/>
  <c r="D1486" i="1" s="1"/>
  <c r="D1485" i="1" a="1"/>
  <c r="D1485" i="1" s="1"/>
  <c r="D1484" i="1" a="1"/>
  <c r="D1484" i="1" s="1"/>
  <c r="D1483" i="1" a="1"/>
  <c r="D1483" i="1" s="1"/>
  <c r="D1482" i="1" a="1"/>
  <c r="D1482" i="1" s="1"/>
  <c r="D1481" i="1" a="1"/>
  <c r="D1481" i="1" s="1"/>
  <c r="D1480" i="1" a="1"/>
  <c r="D1480" i="1" s="1"/>
  <c r="D1479" i="1" a="1"/>
  <c r="D1479" i="1" s="1"/>
  <c r="D1478" i="1" a="1"/>
  <c r="D1478" i="1" s="1"/>
  <c r="D1477" i="1" a="1"/>
  <c r="D1477" i="1" s="1"/>
  <c r="D1476" i="1" a="1"/>
  <c r="D1476" i="1" s="1"/>
  <c r="D1475" i="1" a="1"/>
  <c r="D1475" i="1" s="1"/>
  <c r="D1474" i="1" a="1"/>
  <c r="D1474" i="1" s="1"/>
  <c r="D1473" i="1" a="1"/>
  <c r="D1473" i="1" s="1"/>
  <c r="D1472" i="1" a="1"/>
  <c r="D1472" i="1" s="1"/>
  <c r="D1471" i="1" a="1"/>
  <c r="D1471" i="1" s="1"/>
  <c r="D1470" i="1" a="1"/>
  <c r="D1470" i="1" s="1"/>
  <c r="D1469" i="1" a="1"/>
  <c r="D1469" i="1" s="1"/>
  <c r="D1468" i="1" a="1"/>
  <c r="D1468" i="1" s="1"/>
  <c r="D1467" i="1" a="1"/>
  <c r="D1467" i="1" s="1"/>
  <c r="D1466" i="1" a="1"/>
  <c r="D1466" i="1" s="1"/>
  <c r="D1465" i="1" a="1"/>
  <c r="D1465" i="1" s="1"/>
  <c r="D1464" i="1" a="1"/>
  <c r="D1464" i="1" s="1"/>
  <c r="D1463" i="1" a="1"/>
  <c r="D1463" i="1" s="1"/>
  <c r="D1462" i="1" a="1"/>
  <c r="D1462" i="1" s="1"/>
  <c r="D1461" i="1" a="1"/>
  <c r="D1461" i="1" s="1"/>
  <c r="D1460" i="1" a="1"/>
  <c r="D1460" i="1" s="1"/>
  <c r="D1459" i="1" a="1"/>
  <c r="D1459" i="1" s="1"/>
  <c r="D1458" i="1" a="1"/>
  <c r="D1458" i="1" s="1"/>
  <c r="D1457" i="1" a="1"/>
  <c r="D1457" i="1" s="1"/>
  <c r="D1456" i="1" a="1"/>
  <c r="D1456" i="1" s="1"/>
  <c r="D1455" i="1" a="1"/>
  <c r="D1455" i="1" s="1"/>
  <c r="D1454" i="1" a="1"/>
  <c r="D1454" i="1" s="1"/>
  <c r="D1453" i="1" a="1"/>
  <c r="D1453" i="1" s="1"/>
  <c r="D1452" i="1" a="1"/>
  <c r="D1452" i="1" s="1"/>
  <c r="D1451" i="1" a="1"/>
  <c r="D1451" i="1" s="1"/>
  <c r="D1450" i="1" a="1"/>
  <c r="D1450" i="1" s="1"/>
  <c r="D1449" i="1" a="1"/>
  <c r="D1449" i="1" s="1"/>
  <c r="D1448" i="1" a="1"/>
  <c r="D1448" i="1" s="1"/>
  <c r="D1447" i="1" a="1"/>
  <c r="D1447" i="1" s="1"/>
  <c r="D1446" i="1" a="1"/>
  <c r="D1446" i="1" s="1"/>
  <c r="D1445" i="1" a="1"/>
  <c r="D1445" i="1" s="1"/>
  <c r="D1444" i="1" a="1"/>
  <c r="D1444" i="1" s="1"/>
  <c r="D1443" i="1" a="1"/>
  <c r="D1443" i="1" s="1"/>
  <c r="D1442" i="1" a="1"/>
  <c r="D1442" i="1" s="1"/>
  <c r="D1441" i="1" a="1"/>
  <c r="D1441" i="1" s="1"/>
  <c r="D1440" i="1" a="1"/>
  <c r="D1440" i="1" s="1"/>
  <c r="D1439" i="1" a="1"/>
  <c r="D1439" i="1" s="1"/>
  <c r="D1438" i="1" a="1"/>
  <c r="D1438" i="1" s="1"/>
  <c r="D1437" i="1" a="1"/>
  <c r="D1437" i="1" s="1"/>
  <c r="D1436" i="1" a="1"/>
  <c r="D1436" i="1" s="1"/>
  <c r="D1435" i="1" a="1"/>
  <c r="D1435" i="1" s="1"/>
  <c r="D1434" i="1" a="1"/>
  <c r="D1434" i="1" s="1"/>
  <c r="L1433" i="1"/>
  <c r="D1433" i="1" a="1"/>
  <c r="D1433" i="1" s="1"/>
  <c r="D1432" i="1" a="1"/>
  <c r="D1432" i="1" s="1"/>
  <c r="L1431" i="1"/>
  <c r="D1431" i="1" a="1"/>
  <c r="D1431" i="1" s="1"/>
  <c r="D1430" i="1" a="1"/>
  <c r="D1430" i="1" s="1"/>
  <c r="D1429" i="1" a="1"/>
  <c r="D1429" i="1" s="1"/>
  <c r="D1428" i="1" a="1"/>
  <c r="D1428" i="1" s="1"/>
  <c r="D1427" i="1" a="1"/>
  <c r="D1427" i="1" s="1"/>
  <c r="D1426" i="1" a="1"/>
  <c r="D1426" i="1" s="1"/>
  <c r="D1425" i="1" a="1"/>
  <c r="D1425" i="1" s="1"/>
  <c r="D1424" i="1" a="1"/>
  <c r="D1424" i="1" s="1"/>
  <c r="D1423" i="1" a="1"/>
  <c r="D1423" i="1" s="1"/>
  <c r="D1422" i="1" a="1"/>
  <c r="D1422" i="1" s="1"/>
  <c r="D1421" i="1" a="1"/>
  <c r="D1421" i="1" s="1"/>
  <c r="L1420" i="1"/>
  <c r="D1420" i="1" a="1"/>
  <c r="D1420" i="1" s="1"/>
  <c r="D1419" i="1" a="1"/>
  <c r="D1419" i="1" s="1"/>
  <c r="D1418" i="1" a="1"/>
  <c r="D1418" i="1" s="1"/>
  <c r="D1417" i="1" a="1"/>
  <c r="D1417" i="1" s="1"/>
  <c r="D1416" i="1" a="1"/>
  <c r="D1416" i="1" s="1"/>
  <c r="D1415" i="1" a="1"/>
  <c r="D1415" i="1" s="1"/>
  <c r="D1414" i="1" a="1"/>
  <c r="D1414" i="1" s="1"/>
  <c r="L1413" i="1"/>
  <c r="D1413" i="1" a="1"/>
  <c r="D1413" i="1" s="1"/>
  <c r="L1412" i="1"/>
  <c r="D1412" i="1" a="1"/>
  <c r="D1412" i="1" s="1"/>
  <c r="L1411" i="1"/>
  <c r="D1411" i="1" a="1"/>
  <c r="D1411" i="1" s="1"/>
  <c r="D1410" i="1" a="1"/>
  <c r="D1410" i="1" s="1"/>
  <c r="D1409" i="1" a="1"/>
  <c r="D1409" i="1" s="1"/>
  <c r="D1408" i="1" a="1"/>
  <c r="D1408" i="1" s="1"/>
  <c r="L1407" i="1"/>
  <c r="D1407" i="1" a="1"/>
  <c r="D1407" i="1" s="1"/>
  <c r="L1406" i="1"/>
  <c r="D1406" i="1" a="1"/>
  <c r="D1406" i="1" s="1"/>
  <c r="L1405" i="1"/>
  <c r="D1405" i="1" a="1"/>
  <c r="D1405" i="1" s="1"/>
  <c r="L1404" i="1"/>
  <c r="D1404" i="1" a="1"/>
  <c r="D1404" i="1" s="1"/>
  <c r="D1403" i="1" a="1"/>
  <c r="D1403" i="1" s="1"/>
  <c r="D1402" i="1" a="1"/>
  <c r="D1402" i="1" s="1"/>
  <c r="D1401" i="1" a="1"/>
  <c r="D1401" i="1" s="1"/>
  <c r="D1400" i="1" a="1"/>
  <c r="D1400" i="1" s="1"/>
  <c r="D1399" i="1" a="1"/>
  <c r="D1399" i="1" s="1"/>
  <c r="D1398" i="1" a="1"/>
  <c r="D1398" i="1" s="1"/>
  <c r="D1397" i="1" a="1"/>
  <c r="D1397" i="1" s="1"/>
  <c r="D1396" i="1" a="1"/>
  <c r="D1396" i="1" s="1"/>
  <c r="D1395" i="1" a="1"/>
  <c r="D1395" i="1" s="1"/>
  <c r="D1394" i="1" a="1"/>
  <c r="D1394" i="1" s="1"/>
  <c r="L1393" i="1"/>
  <c r="D1393" i="1" a="1"/>
  <c r="D1393" i="1" s="1"/>
  <c r="D1392" i="1" a="1"/>
  <c r="D1392" i="1" s="1"/>
  <c r="D1391" i="1" a="1"/>
  <c r="D1391" i="1" s="1"/>
  <c r="D1390" i="1" a="1"/>
  <c r="D1390" i="1" s="1"/>
  <c r="D1389" i="1" a="1"/>
  <c r="D1389" i="1" s="1"/>
  <c r="D1388" i="1" a="1"/>
  <c r="D1388" i="1" s="1"/>
  <c r="D1387" i="1" a="1"/>
  <c r="D1387" i="1" s="1"/>
  <c r="D1386" i="1" a="1"/>
  <c r="D1386" i="1" s="1"/>
  <c r="D1385" i="1" a="1"/>
  <c r="D1385" i="1" s="1"/>
  <c r="D1384" i="1" a="1"/>
  <c r="D1384" i="1" s="1"/>
  <c r="D1383" i="1" a="1"/>
  <c r="D1383" i="1" s="1"/>
  <c r="D1382" i="1" a="1"/>
  <c r="D1382" i="1" s="1"/>
  <c r="D1381" i="1" a="1"/>
  <c r="D1381" i="1" s="1"/>
  <c r="D1380" i="1" a="1"/>
  <c r="D1380" i="1" s="1"/>
  <c r="D1379" i="1" a="1"/>
  <c r="D1379" i="1" s="1"/>
  <c r="D1378" i="1" a="1"/>
  <c r="D1378" i="1" s="1"/>
  <c r="D1377" i="1" a="1"/>
  <c r="D1377" i="1" s="1"/>
  <c r="D1376" i="1" a="1"/>
  <c r="D1376" i="1" s="1"/>
  <c r="D1375" i="1" a="1"/>
  <c r="D1375" i="1" s="1"/>
  <c r="D1374" i="1" a="1"/>
  <c r="D1374" i="1" s="1"/>
  <c r="D1373" i="1" a="1"/>
  <c r="D1373" i="1" s="1"/>
  <c r="D1372" i="1" a="1"/>
  <c r="D1372" i="1" s="1"/>
  <c r="D1371" i="1" a="1"/>
  <c r="D1371" i="1" s="1"/>
  <c r="D1370" i="1" a="1"/>
  <c r="D1370" i="1" s="1"/>
  <c r="D1369" i="1" a="1"/>
  <c r="D1369" i="1" s="1"/>
  <c r="D1368" i="1" a="1"/>
  <c r="D1368" i="1" s="1"/>
  <c r="D1367" i="1" a="1"/>
  <c r="D1367" i="1" s="1"/>
  <c r="D1366" i="1" a="1"/>
  <c r="D1366" i="1" s="1"/>
  <c r="D1365" i="1" a="1"/>
  <c r="D1365" i="1" s="1"/>
  <c r="D1364" i="1" a="1"/>
  <c r="D1364" i="1" s="1"/>
  <c r="D1363" i="1" a="1"/>
  <c r="D1363" i="1" s="1"/>
  <c r="D1362" i="1" a="1"/>
  <c r="D1362" i="1" s="1"/>
  <c r="D1361" i="1" a="1"/>
  <c r="D1361" i="1" s="1"/>
  <c r="D1360" i="1" a="1"/>
  <c r="D1360" i="1" s="1"/>
  <c r="D1359" i="1" a="1"/>
  <c r="D1359" i="1" s="1"/>
  <c r="D1358" i="1" a="1"/>
  <c r="D1358" i="1" s="1"/>
  <c r="D1357" i="1" a="1"/>
  <c r="D1357" i="1" s="1"/>
  <c r="D1356" i="1" a="1"/>
  <c r="D1356" i="1" s="1"/>
  <c r="D1355" i="1" a="1"/>
  <c r="D1355" i="1" s="1"/>
  <c r="D1354" i="1" a="1"/>
  <c r="D1354" i="1" s="1"/>
  <c r="D1353" i="1" a="1"/>
  <c r="D1353" i="1" s="1"/>
  <c r="D1352" i="1" a="1"/>
  <c r="D1352" i="1" s="1"/>
  <c r="D1351" i="1" a="1"/>
  <c r="D1351" i="1" s="1"/>
  <c r="D1350" i="1" a="1"/>
  <c r="D1350" i="1" s="1"/>
  <c r="D1349" i="1" a="1"/>
  <c r="D1349" i="1" s="1"/>
  <c r="D1348" i="1" a="1"/>
  <c r="D1348" i="1" s="1"/>
  <c r="D1347" i="1" a="1"/>
  <c r="D1347" i="1" s="1"/>
  <c r="D1346" i="1" a="1"/>
  <c r="D1346" i="1" s="1"/>
  <c r="D1345" i="1" a="1"/>
  <c r="D1345" i="1" s="1"/>
  <c r="D1344" i="1" a="1"/>
  <c r="D1344" i="1" s="1"/>
  <c r="D1343" i="1" a="1"/>
  <c r="D1343" i="1" s="1"/>
  <c r="L1342" i="1"/>
  <c r="D1342" i="1" a="1"/>
  <c r="D1342" i="1" s="1"/>
  <c r="L1341" i="1"/>
  <c r="D1341" i="1" a="1"/>
  <c r="D1341" i="1" s="1"/>
  <c r="D1340" i="1" a="1"/>
  <c r="D1340" i="1" s="1"/>
  <c r="D1339" i="1" a="1"/>
  <c r="D1339" i="1" s="1"/>
  <c r="D1338" i="1" a="1"/>
  <c r="D1338" i="1" s="1"/>
  <c r="L1337" i="1"/>
  <c r="D1337" i="1" a="1"/>
  <c r="D1337" i="1" s="1"/>
  <c r="L1336" i="1"/>
  <c r="D1336" i="1" a="1"/>
  <c r="D1336" i="1" s="1"/>
  <c r="L1335" i="1"/>
  <c r="D1335" i="1" a="1"/>
  <c r="D1335" i="1" s="1"/>
  <c r="L1334" i="1"/>
  <c r="D1334" i="1" a="1"/>
  <c r="D1334" i="1" s="1"/>
  <c r="D1333" i="1" a="1"/>
  <c r="D1333" i="1" s="1"/>
  <c r="J1332" i="1"/>
  <c r="D1332" i="1" a="1"/>
  <c r="D1332" i="1" s="1"/>
  <c r="D1331" i="1" a="1"/>
  <c r="D1331" i="1" s="1"/>
  <c r="L1330" i="1"/>
  <c r="D1330" i="1" a="1"/>
  <c r="D1330" i="1" s="1"/>
  <c r="D1329" i="1" a="1"/>
  <c r="D1329" i="1" s="1"/>
  <c r="L1328" i="1"/>
  <c r="D1328" i="1" a="1"/>
  <c r="D1328" i="1" s="1"/>
  <c r="L1327" i="1"/>
  <c r="D1327" i="1" a="1"/>
  <c r="D1327" i="1" s="1"/>
  <c r="L1326" i="1"/>
  <c r="D1326" i="1" a="1"/>
  <c r="D1326" i="1" s="1"/>
  <c r="D1325" i="1" a="1"/>
  <c r="D1325" i="1" s="1"/>
  <c r="D1324" i="1" a="1"/>
  <c r="D1324" i="1" s="1"/>
  <c r="L1323" i="1"/>
  <c r="D1323" i="1" a="1"/>
  <c r="D1323" i="1" s="1"/>
  <c r="L1322" i="1"/>
  <c r="D1322" i="1" a="1"/>
  <c r="D1322" i="1" s="1"/>
  <c r="D1321" i="1" a="1"/>
  <c r="D1321" i="1" s="1"/>
  <c r="L1320" i="1"/>
  <c r="D1320" i="1" a="1"/>
  <c r="D1320" i="1" s="1"/>
  <c r="L1319" i="1"/>
  <c r="D1319" i="1" a="1"/>
  <c r="D1319" i="1" s="1"/>
  <c r="D1318" i="1" a="1"/>
  <c r="D1318" i="1" s="1"/>
  <c r="D1317" i="1" a="1"/>
  <c r="D1317" i="1" s="1"/>
  <c r="L1316" i="1"/>
  <c r="D1316" i="1" a="1"/>
  <c r="D1316" i="1" s="1"/>
  <c r="D1315" i="1" a="1"/>
  <c r="D1315" i="1" s="1"/>
  <c r="D1314" i="1" a="1"/>
  <c r="D1314" i="1" s="1"/>
  <c r="D1313" i="1" a="1"/>
  <c r="D1313" i="1" s="1"/>
  <c r="D1312" i="1" a="1"/>
  <c r="D1312" i="1" s="1"/>
  <c r="D1311" i="1" a="1"/>
  <c r="D1311" i="1" s="1"/>
  <c r="L1310" i="1"/>
  <c r="D1310" i="1" a="1"/>
  <c r="D1310" i="1" s="1"/>
  <c r="L1309" i="1"/>
  <c r="D1309" i="1" a="1"/>
  <c r="D1309" i="1" s="1"/>
  <c r="L1308" i="1"/>
  <c r="D1308" i="1" a="1"/>
  <c r="D1308" i="1" s="1"/>
  <c r="D1307" i="1" a="1"/>
  <c r="D1307" i="1" s="1"/>
  <c r="D1306" i="1" a="1"/>
  <c r="D1306" i="1" s="1"/>
  <c r="L1305" i="1"/>
  <c r="D1305" i="1" a="1"/>
  <c r="D1305" i="1" s="1"/>
  <c r="D1304" i="1" a="1"/>
  <c r="D1304" i="1" s="1"/>
  <c r="D1303" i="1" a="1"/>
  <c r="D1303" i="1" s="1"/>
  <c r="L1302" i="1"/>
  <c r="D1302" i="1" a="1"/>
  <c r="D1302" i="1" s="1"/>
  <c r="L1301" i="1"/>
  <c r="D1301" i="1" a="1"/>
  <c r="D1301" i="1" s="1"/>
  <c r="L1300" i="1"/>
  <c r="D1300" i="1" a="1"/>
  <c r="D1300" i="1" s="1"/>
  <c r="D1299" i="1" a="1"/>
  <c r="D1299" i="1" s="1"/>
  <c r="D1298" i="1" a="1"/>
  <c r="D1298" i="1" s="1"/>
  <c r="L1297" i="1"/>
  <c r="D1297" i="1" a="1"/>
  <c r="D1297" i="1" s="1"/>
  <c r="L1296" i="1"/>
  <c r="D1296" i="1" a="1"/>
  <c r="D1296" i="1" s="1"/>
  <c r="D1295" i="1" a="1"/>
  <c r="D1295" i="1" s="1"/>
  <c r="D1294" i="1" a="1"/>
  <c r="D1294" i="1" s="1"/>
  <c r="D1293" i="1" a="1"/>
  <c r="D1293" i="1" s="1"/>
  <c r="L1292" i="1"/>
  <c r="D1292" i="1" a="1"/>
  <c r="D1292" i="1" s="1"/>
  <c r="D1291" i="1" a="1"/>
  <c r="D1291" i="1" s="1"/>
  <c r="D1290" i="1" a="1"/>
  <c r="D1290" i="1" s="1"/>
  <c r="L1289" i="1"/>
  <c r="D1289" i="1" a="1"/>
  <c r="D1289" i="1" s="1"/>
  <c r="D1288" i="1" a="1"/>
  <c r="D1288" i="1" s="1"/>
  <c r="L1287" i="1"/>
  <c r="D1287" i="1" a="1"/>
  <c r="D1287" i="1" s="1"/>
  <c r="L1286" i="1"/>
  <c r="D1286" i="1" a="1"/>
  <c r="D1286" i="1" s="1"/>
  <c r="D1285" i="1" a="1"/>
  <c r="D1285" i="1" s="1"/>
  <c r="D1284" i="1" a="1"/>
  <c r="D1284" i="1" s="1"/>
  <c r="D1283" i="1" a="1"/>
  <c r="D1283" i="1" s="1"/>
  <c r="L1282" i="1"/>
  <c r="D1282" i="1" a="1"/>
  <c r="D1282" i="1" s="1"/>
  <c r="L1281" i="1"/>
  <c r="D1281" i="1" a="1"/>
  <c r="D1281" i="1" s="1"/>
  <c r="L1280" i="1"/>
  <c r="D1280" i="1" a="1"/>
  <c r="D1280" i="1" s="1"/>
  <c r="L1279" i="1"/>
  <c r="D1279" i="1" a="1"/>
  <c r="D1279" i="1" s="1"/>
  <c r="L1278" i="1"/>
  <c r="L1600" i="1" s="1"/>
  <c r="D1278" i="1" a="1"/>
  <c r="D1278" i="1" s="1"/>
  <c r="L1277" i="1"/>
  <c r="D1277" i="1" a="1"/>
  <c r="D1277" i="1" s="1"/>
  <c r="L1276" i="1"/>
  <c r="D1276" i="1" a="1"/>
  <c r="D1276" i="1" s="1"/>
  <c r="D1275" i="1" a="1"/>
  <c r="D1275" i="1" s="1"/>
  <c r="L1274" i="1"/>
  <c r="D1274" i="1" a="1"/>
  <c r="D1274" i="1" s="1"/>
  <c r="D1273" i="1" a="1"/>
  <c r="D1273" i="1" s="1"/>
  <c r="L1272" i="1"/>
  <c r="D1272" i="1" a="1"/>
  <c r="D1272" i="1" s="1"/>
  <c r="D1271" i="1" a="1"/>
  <c r="D1271" i="1" s="1"/>
  <c r="D1270" i="1" a="1"/>
  <c r="D1270" i="1" s="1"/>
  <c r="L1269" i="1"/>
  <c r="D1269" i="1" a="1"/>
  <c r="D1269" i="1" s="1"/>
  <c r="L1268" i="1"/>
  <c r="D1268" i="1" a="1"/>
  <c r="D1268" i="1" s="1"/>
  <c r="D1267" i="1" a="1"/>
  <c r="D1267" i="1" s="1"/>
  <c r="D1266" i="1" a="1"/>
  <c r="D1266" i="1" s="1"/>
  <c r="L1265" i="1"/>
  <c r="D1265" i="1" a="1"/>
  <c r="D1265" i="1" s="1"/>
  <c r="L1264" i="1"/>
  <c r="D1264" i="1" a="1"/>
  <c r="D1264" i="1" s="1"/>
  <c r="D1263" i="1" a="1"/>
  <c r="D1263" i="1" s="1"/>
  <c r="D1262" i="1" a="1"/>
  <c r="D1262" i="1" s="1"/>
  <c r="D1261" i="1" a="1"/>
  <c r="D1261" i="1" s="1"/>
  <c r="L1260" i="1"/>
  <c r="D1260" i="1" a="1"/>
  <c r="D1260" i="1" s="1"/>
  <c r="D1259" i="1" a="1"/>
  <c r="D1259" i="1" s="1"/>
  <c r="L1258" i="1"/>
  <c r="D1258" i="1" a="1"/>
  <c r="D1258" i="1" s="1"/>
  <c r="L1257" i="1"/>
  <c r="D1257" i="1" a="1"/>
  <c r="D1257" i="1" s="1"/>
  <c r="J1256" i="1"/>
  <c r="D1256" i="1" a="1"/>
  <c r="D1256" i="1" s="1"/>
  <c r="L1255" i="1"/>
  <c r="D1255" i="1" a="1"/>
  <c r="D1255" i="1" s="1"/>
  <c r="D1254" i="1" a="1"/>
  <c r="D1254" i="1" s="1"/>
  <c r="L1253" i="1"/>
  <c r="D1253" i="1" a="1"/>
  <c r="D1253" i="1" s="1"/>
  <c r="L1252" i="1"/>
  <c r="D1252" i="1" a="1"/>
  <c r="D1252" i="1" s="1"/>
  <c r="L1251" i="1"/>
  <c r="D1251" i="1" a="1"/>
  <c r="D1251" i="1" s="1"/>
  <c r="L1250" i="1"/>
  <c r="D1250" i="1" a="1"/>
  <c r="D1250" i="1" s="1"/>
  <c r="L1249" i="1"/>
  <c r="D1249" i="1" a="1"/>
  <c r="D1249" i="1" s="1"/>
  <c r="D1248" i="1" a="1"/>
  <c r="D1248" i="1" s="1"/>
  <c r="L1247" i="1"/>
  <c r="D1247" i="1" a="1"/>
  <c r="D1247" i="1" s="1"/>
  <c r="D1246" i="1" a="1"/>
  <c r="D1246" i="1" s="1"/>
  <c r="D1245" i="1" a="1"/>
  <c r="D1245" i="1" s="1"/>
  <c r="D1244" i="1" a="1"/>
  <c r="D1244" i="1" s="1"/>
  <c r="D1243" i="1" a="1"/>
  <c r="D1243" i="1" s="1"/>
  <c r="L1242" i="1"/>
  <c r="D1242" i="1" a="1"/>
  <c r="D1242" i="1" s="1"/>
  <c r="L1241" i="1"/>
  <c r="D1241" i="1" a="1"/>
  <c r="D1241" i="1" s="1"/>
  <c r="L1240" i="1"/>
  <c r="D1240" i="1" a="1"/>
  <c r="D1240" i="1" s="1"/>
  <c r="L1239" i="1"/>
  <c r="D1239" i="1" a="1"/>
  <c r="D1239" i="1" s="1"/>
  <c r="L1238" i="1"/>
  <c r="D1238" i="1" a="1"/>
  <c r="D1238" i="1" s="1"/>
  <c r="L1237" i="1"/>
  <c r="D1237" i="1" a="1"/>
  <c r="D1237" i="1" s="1"/>
  <c r="L1236" i="1"/>
  <c r="D1236" i="1" a="1"/>
  <c r="D1236" i="1" s="1"/>
  <c r="D1235" i="1" a="1"/>
  <c r="D1235" i="1" s="1"/>
  <c r="L1234" i="1"/>
  <c r="D1234" i="1" a="1"/>
  <c r="D1234" i="1" s="1"/>
  <c r="D1233" i="1" a="1"/>
  <c r="D1233" i="1" s="1"/>
  <c r="D1232" i="1" a="1"/>
  <c r="D1232" i="1" s="1"/>
  <c r="D1231" i="1" a="1"/>
  <c r="D1231" i="1" s="1"/>
  <c r="D1230" i="1" a="1"/>
  <c r="D1230" i="1" s="1"/>
  <c r="D1229" i="1" a="1"/>
  <c r="D1229" i="1" s="1"/>
  <c r="D1228" i="1" a="1"/>
  <c r="D1228" i="1" s="1"/>
  <c r="D1227" i="1" a="1"/>
  <c r="D1227" i="1" s="1"/>
  <c r="D1226" i="1" a="1"/>
  <c r="D1226" i="1" s="1"/>
  <c r="J1225" i="1"/>
  <c r="D1225" i="1" a="1"/>
  <c r="D1225" i="1" s="1"/>
  <c r="L1224" i="1"/>
  <c r="D1224" i="1" a="1"/>
  <c r="D1224" i="1" s="1"/>
  <c r="L1223" i="1"/>
  <c r="D1223" i="1" a="1"/>
  <c r="D1223" i="1" s="1"/>
  <c r="L1222" i="1"/>
  <c r="D1222" i="1" a="1"/>
  <c r="D1222" i="1" s="1"/>
  <c r="L1221" i="1"/>
  <c r="D1221" i="1" a="1"/>
  <c r="D1221" i="1" s="1"/>
  <c r="J1220" i="1"/>
  <c r="D1220" i="1" a="1"/>
  <c r="D1220" i="1" s="1"/>
  <c r="L1219" i="1"/>
  <c r="D1219" i="1" a="1"/>
  <c r="D1219" i="1" s="1"/>
  <c r="D1218" i="1" a="1"/>
  <c r="D1218" i="1" s="1"/>
  <c r="L1217" i="1"/>
  <c r="D1217" i="1" a="1"/>
  <c r="D1217" i="1" s="1"/>
  <c r="L1216" i="1"/>
  <c r="D1216" i="1" a="1"/>
  <c r="D1216" i="1" s="1"/>
  <c r="L1215" i="1"/>
  <c r="D1215" i="1" a="1"/>
  <c r="D1215" i="1" s="1"/>
  <c r="L1214" i="1"/>
  <c r="D1214" i="1" a="1"/>
  <c r="D1214" i="1" s="1"/>
  <c r="L1213" i="1"/>
  <c r="D1213" i="1" a="1"/>
  <c r="D1213" i="1" s="1"/>
  <c r="L1212" i="1"/>
  <c r="D1212" i="1" a="1"/>
  <c r="D1212" i="1" s="1"/>
  <c r="L1211" i="1"/>
  <c r="D1211" i="1" a="1"/>
  <c r="D1211" i="1" s="1"/>
  <c r="L1210" i="1"/>
  <c r="D1210" i="1" a="1"/>
  <c r="D1210" i="1" s="1"/>
  <c r="L1209" i="1"/>
  <c r="D1209" i="1" a="1"/>
  <c r="D1209" i="1" s="1"/>
  <c r="L1208" i="1"/>
  <c r="D1208" i="1" a="1"/>
  <c r="D1208" i="1" s="1"/>
  <c r="L1207" i="1"/>
  <c r="D1207" i="1" a="1"/>
  <c r="D1207" i="1" s="1"/>
  <c r="L1206" i="1"/>
  <c r="D1206" i="1" a="1"/>
  <c r="D1206" i="1" s="1"/>
  <c r="L1205" i="1"/>
  <c r="D1205" i="1" a="1"/>
  <c r="D1205" i="1" s="1"/>
  <c r="L1204" i="1"/>
  <c r="D1204" i="1" a="1"/>
  <c r="D1204" i="1" s="1"/>
  <c r="L1203" i="1"/>
  <c r="D1203" i="1" a="1"/>
  <c r="D1203" i="1" s="1"/>
  <c r="L1202" i="1"/>
  <c r="D1202" i="1" a="1"/>
  <c r="D1202" i="1" s="1"/>
  <c r="L1201" i="1"/>
  <c r="D1201" i="1" a="1"/>
  <c r="D1201" i="1" s="1"/>
  <c r="L1200" i="1"/>
  <c r="D1200" i="1" a="1"/>
  <c r="D1200" i="1" s="1"/>
  <c r="L1199" i="1"/>
  <c r="D1199" i="1" a="1"/>
  <c r="D1199" i="1" s="1"/>
  <c r="L1198" i="1"/>
  <c r="D1198" i="1" a="1"/>
  <c r="D1198" i="1" s="1"/>
  <c r="L1197" i="1"/>
  <c r="D1197" i="1" a="1"/>
  <c r="D1197" i="1" s="1"/>
  <c r="L1196" i="1"/>
  <c r="D1196" i="1" a="1"/>
  <c r="D1196" i="1" s="1"/>
  <c r="L1195" i="1"/>
  <c r="D1195" i="1" a="1"/>
  <c r="D1195" i="1" s="1"/>
  <c r="L1194" i="1"/>
  <c r="D1194" i="1" a="1"/>
  <c r="D1194" i="1" s="1"/>
  <c r="L1193" i="1"/>
  <c r="D1193" i="1" a="1"/>
  <c r="D1193" i="1" s="1"/>
  <c r="L1192" i="1"/>
  <c r="D1192" i="1" a="1"/>
  <c r="D1192" i="1" s="1"/>
  <c r="L1191" i="1"/>
  <c r="D1191" i="1" a="1"/>
  <c r="D1191" i="1" s="1"/>
  <c r="L1190" i="1"/>
  <c r="D1190" i="1" a="1"/>
  <c r="D1190" i="1" s="1"/>
  <c r="L1189" i="1"/>
  <c r="D1189" i="1" a="1"/>
  <c r="D1189" i="1" s="1"/>
  <c r="L1188" i="1"/>
  <c r="D1188" i="1" a="1"/>
  <c r="D1188" i="1" s="1"/>
  <c r="L1187" i="1"/>
  <c r="D1187" i="1" a="1"/>
  <c r="D1187" i="1" s="1"/>
  <c r="L1186" i="1"/>
  <c r="D1186" i="1" a="1"/>
  <c r="D1186" i="1" s="1"/>
  <c r="L1185" i="1"/>
  <c r="D1185" i="1" a="1"/>
  <c r="D1185" i="1" s="1"/>
  <c r="L1184" i="1"/>
  <c r="D1184" i="1" a="1"/>
  <c r="D1184" i="1" s="1"/>
  <c r="L1183" i="1"/>
  <c r="D1183" i="1" a="1"/>
  <c r="D1183" i="1" s="1"/>
  <c r="L1182" i="1"/>
  <c r="D1182" i="1" a="1"/>
  <c r="D1182" i="1" s="1"/>
  <c r="L1181" i="1"/>
  <c r="D1181" i="1" a="1"/>
  <c r="D1181" i="1" s="1"/>
  <c r="L1180" i="1"/>
  <c r="D1180" i="1" a="1"/>
  <c r="D1180" i="1" s="1"/>
  <c r="L1179" i="1"/>
  <c r="D1179" i="1" a="1"/>
  <c r="D1179" i="1" s="1"/>
  <c r="L1178" i="1"/>
  <c r="D1178" i="1" a="1"/>
  <c r="D1178" i="1" s="1"/>
  <c r="L1177" i="1"/>
  <c r="D1177" i="1" a="1"/>
  <c r="D1177" i="1" s="1"/>
  <c r="L1176" i="1"/>
  <c r="D1176" i="1" a="1"/>
  <c r="D1176" i="1" s="1"/>
  <c r="L1175" i="1"/>
  <c r="D1175" i="1" a="1"/>
  <c r="D1175" i="1" s="1"/>
  <c r="L1174" i="1"/>
  <c r="D1174" i="1" a="1"/>
  <c r="D1174" i="1" s="1"/>
  <c r="L1173" i="1"/>
  <c r="D1173" i="1" a="1"/>
  <c r="D1173" i="1" s="1"/>
  <c r="L1172" i="1"/>
  <c r="D1172" i="1" a="1"/>
  <c r="D1172" i="1" s="1"/>
  <c r="L1171" i="1"/>
  <c r="D1171" i="1" a="1"/>
  <c r="D1171" i="1" s="1"/>
  <c r="L1170" i="1"/>
  <c r="D1170" i="1" a="1"/>
  <c r="D1170" i="1" s="1"/>
  <c r="L1169" i="1"/>
  <c r="D1169" i="1" a="1"/>
  <c r="D1169" i="1" s="1"/>
  <c r="L1168" i="1"/>
  <c r="D1168" i="1" a="1"/>
  <c r="D1168" i="1" s="1"/>
  <c r="L1167" i="1"/>
  <c r="D1167" i="1" a="1"/>
  <c r="D1167" i="1" s="1"/>
  <c r="L1166" i="1"/>
  <c r="D1166" i="1" a="1"/>
  <c r="D1166" i="1" s="1"/>
  <c r="D1165" i="1" a="1"/>
  <c r="D1165" i="1" s="1"/>
  <c r="L1164" i="1"/>
  <c r="D1164" i="1" a="1"/>
  <c r="D1164" i="1" s="1"/>
  <c r="J1163" i="1"/>
  <c r="L1163" i="1" s="1"/>
  <c r="D1163" i="1" a="1"/>
  <c r="D1163" i="1" s="1"/>
  <c r="J1162" i="1"/>
  <c r="L1162" i="1" s="1"/>
  <c r="D1162" i="1" a="1"/>
  <c r="D1162" i="1" s="1"/>
  <c r="J1161" i="1"/>
  <c r="L1161" i="1" s="1"/>
  <c r="D1161" i="1" a="1"/>
  <c r="D1161" i="1" s="1"/>
  <c r="J1160" i="1"/>
  <c r="L1160" i="1" s="1"/>
  <c r="D1160" i="1" a="1"/>
  <c r="D1160" i="1" s="1"/>
  <c r="L1159" i="1"/>
  <c r="D1159" i="1" a="1"/>
  <c r="D1159" i="1" s="1"/>
  <c r="J1158" i="1"/>
  <c r="D1158" i="1" a="1"/>
  <c r="D1158" i="1" s="1"/>
  <c r="J1157" i="1"/>
  <c r="L1157" i="1" s="1"/>
  <c r="D1157" i="1" a="1"/>
  <c r="D1157" i="1" s="1"/>
  <c r="J1156" i="1"/>
  <c r="L1156" i="1" s="1"/>
  <c r="D1156" i="1" a="1"/>
  <c r="D1156" i="1" s="1"/>
  <c r="J1155" i="1"/>
  <c r="L1155" i="1" s="1"/>
  <c r="D1155" i="1" a="1"/>
  <c r="D1155" i="1" s="1"/>
  <c r="J1154" i="1"/>
  <c r="L1154" i="1" s="1"/>
  <c r="D1154" i="1" a="1"/>
  <c r="D1154" i="1" s="1"/>
  <c r="J1153" i="1"/>
  <c r="L1153" i="1" s="1"/>
  <c r="D1153" i="1" a="1"/>
  <c r="D1153" i="1" s="1"/>
  <c r="J1152" i="1"/>
  <c r="L1152" i="1" s="1"/>
  <c r="D1152" i="1" a="1"/>
  <c r="D1152" i="1" s="1"/>
  <c r="L1151" i="1"/>
  <c r="D1151" i="1" a="1"/>
  <c r="D1151" i="1" s="1"/>
  <c r="J1150" i="1"/>
  <c r="L1150" i="1" s="1"/>
  <c r="D1150" i="1" a="1"/>
  <c r="D1150" i="1" s="1"/>
  <c r="L1149" i="1"/>
  <c r="D1149" i="1" a="1"/>
  <c r="D1149" i="1" s="1"/>
  <c r="D1148" i="1" a="1"/>
  <c r="D1148" i="1" s="1"/>
  <c r="J1147" i="1"/>
  <c r="L1147" i="1" s="1"/>
  <c r="D1147" i="1" a="1"/>
  <c r="D1147" i="1" s="1"/>
  <c r="J1146" i="1"/>
  <c r="L1146" i="1" s="1"/>
  <c r="D1146" i="1" a="1"/>
  <c r="D1146" i="1" s="1"/>
  <c r="L1145" i="1"/>
  <c r="D1145" i="1" a="1"/>
  <c r="D1145" i="1" s="1"/>
  <c r="L1144" i="1"/>
  <c r="D1144" i="1" a="1"/>
  <c r="D1144" i="1" s="1"/>
  <c r="L1143" i="1"/>
  <c r="D1143" i="1" a="1"/>
  <c r="D1143" i="1" s="1"/>
  <c r="L1142" i="1"/>
  <c r="D1142" i="1" a="1"/>
  <c r="D1142" i="1" s="1"/>
  <c r="L1141" i="1"/>
  <c r="D1141" i="1" a="1"/>
  <c r="D1141" i="1" s="1"/>
  <c r="L1140" i="1"/>
  <c r="D1140" i="1" a="1"/>
  <c r="D1140" i="1" s="1"/>
  <c r="L1139" i="1"/>
  <c r="D1139" i="1" a="1"/>
  <c r="D1139" i="1" s="1"/>
  <c r="L1138" i="1"/>
  <c r="D1138" i="1" a="1"/>
  <c r="D1138" i="1" s="1"/>
  <c r="L1137" i="1"/>
  <c r="D1137" i="1" a="1"/>
  <c r="D1137" i="1" s="1"/>
  <c r="L1136" i="1"/>
  <c r="D1136" i="1" a="1"/>
  <c r="D1136" i="1" s="1"/>
  <c r="L1135" i="1"/>
  <c r="D1135" i="1" a="1"/>
  <c r="D1135" i="1" s="1"/>
  <c r="L1134" i="1"/>
  <c r="D1134" i="1" a="1"/>
  <c r="D1134" i="1" s="1"/>
  <c r="L1133" i="1"/>
  <c r="D1133" i="1" a="1"/>
  <c r="D1133" i="1" s="1"/>
  <c r="L1132" i="1"/>
  <c r="D1132" i="1" a="1"/>
  <c r="D1132" i="1" s="1"/>
  <c r="D1131" i="1" a="1"/>
  <c r="D1131" i="1" s="1"/>
  <c r="D1130" i="1" a="1"/>
  <c r="D1130" i="1" s="1"/>
  <c r="D1129" i="1" a="1"/>
  <c r="D1129" i="1" s="1"/>
  <c r="D1128" i="1" a="1"/>
  <c r="D1128" i="1" s="1"/>
  <c r="L1127" i="1"/>
  <c r="D1127" i="1" a="1"/>
  <c r="D1127" i="1" s="1"/>
  <c r="L1126" i="1"/>
  <c r="D1126" i="1" a="1"/>
  <c r="D1126" i="1" s="1"/>
  <c r="L1125" i="1"/>
  <c r="D1125" i="1" a="1"/>
  <c r="D1125" i="1" s="1"/>
  <c r="L1124" i="1"/>
  <c r="D1124" i="1" a="1"/>
  <c r="D1124" i="1" s="1"/>
  <c r="D1123" i="1" a="1"/>
  <c r="D1123" i="1" s="1"/>
  <c r="D1122" i="1" a="1"/>
  <c r="D1122" i="1" s="1"/>
  <c r="D1121" i="1" a="1"/>
  <c r="D1121" i="1" s="1"/>
  <c r="D1120" i="1" a="1"/>
  <c r="D1120" i="1" s="1"/>
  <c r="D1119" i="1" a="1"/>
  <c r="D1119" i="1" s="1"/>
  <c r="D1118" i="1" a="1"/>
  <c r="D1118" i="1" s="1"/>
  <c r="D1117" i="1" a="1"/>
  <c r="D1117" i="1" s="1"/>
  <c r="D1116" i="1" a="1"/>
  <c r="D1116" i="1" s="1"/>
  <c r="D1115" i="1" a="1"/>
  <c r="D1115" i="1" s="1"/>
  <c r="D1114" i="1" a="1"/>
  <c r="D1114" i="1" s="1"/>
  <c r="D1113" i="1" a="1"/>
  <c r="D1113" i="1" s="1"/>
  <c r="D1112" i="1" a="1"/>
  <c r="D1112" i="1" s="1"/>
  <c r="D1111" i="1" a="1"/>
  <c r="D1111" i="1" s="1"/>
  <c r="D1110" i="1" a="1"/>
  <c r="D1110" i="1" s="1"/>
  <c r="D1109" i="1" a="1"/>
  <c r="D1109" i="1" s="1"/>
  <c r="D1108" i="1" a="1"/>
  <c r="D1108" i="1" s="1"/>
  <c r="D1107" i="1" a="1"/>
  <c r="D1107" i="1" s="1"/>
  <c r="D1106" i="1" a="1"/>
  <c r="D1106" i="1" s="1"/>
  <c r="J1105" i="1"/>
  <c r="D1105" i="1" a="1"/>
  <c r="D1105" i="1" s="1"/>
  <c r="J1104" i="1"/>
  <c r="D1104" i="1" a="1"/>
  <c r="D1104" i="1" s="1"/>
  <c r="J1103" i="1"/>
  <c r="D1103" i="1" a="1"/>
  <c r="D1103" i="1" s="1"/>
  <c r="J1102" i="1"/>
  <c r="J1101" i="1"/>
  <c r="J1100" i="1"/>
  <c r="J1099" i="1"/>
  <c r="J1098" i="1"/>
  <c r="J1097" i="1"/>
  <c r="J1096" i="1"/>
  <c r="L1096" i="1" s="1"/>
  <c r="J1095" i="1"/>
  <c r="J1094" i="1"/>
  <c r="J1093" i="1"/>
  <c r="J1092" i="1"/>
  <c r="E1092" i="1"/>
  <c r="E1093" i="1" s="1"/>
  <c r="J1091" i="1"/>
  <c r="L1091" i="1" s="1"/>
  <c r="D1091" i="1" a="1"/>
  <c r="D1091" i="1" s="1"/>
  <c r="J1090" i="1"/>
  <c r="D1090" i="1" a="1"/>
  <c r="D1090" i="1" s="1"/>
  <c r="J1089" i="1"/>
  <c r="D1089" i="1" a="1"/>
  <c r="D1089" i="1" s="1"/>
  <c r="J1088" i="1"/>
  <c r="D1088" i="1" a="1"/>
  <c r="D1088" i="1" s="1"/>
  <c r="J1087" i="1"/>
  <c r="D1087" i="1" a="1"/>
  <c r="D1087" i="1" s="1"/>
  <c r="J1086" i="1"/>
  <c r="D1086" i="1" a="1"/>
  <c r="D1086" i="1" s="1"/>
  <c r="J1085" i="1"/>
  <c r="D1085" i="1" a="1"/>
  <c r="D1085" i="1" s="1"/>
  <c r="J1084" i="1"/>
  <c r="D1084" i="1" a="1"/>
  <c r="D1084" i="1" s="1"/>
  <c r="J1083" i="1"/>
  <c r="D1083" i="1" a="1"/>
  <c r="D1083" i="1" s="1"/>
  <c r="J1082" i="1"/>
  <c r="D1082" i="1" a="1"/>
  <c r="D1082" i="1" s="1"/>
  <c r="J1081" i="1"/>
  <c r="D1081" i="1" a="1"/>
  <c r="D1081" i="1" s="1"/>
  <c r="J1080" i="1"/>
  <c r="D1080" i="1" a="1"/>
  <c r="D1080" i="1" s="1"/>
  <c r="J1079" i="1"/>
  <c r="L1079" i="1" s="1"/>
  <c r="D1079" i="1" a="1"/>
  <c r="D1079" i="1" s="1"/>
  <c r="L1078" i="1"/>
  <c r="D1078" i="1" a="1"/>
  <c r="D1078" i="1" s="1"/>
  <c r="J1077" i="1"/>
  <c r="D1077" i="1" a="1"/>
  <c r="D1077" i="1" s="1"/>
  <c r="J1076" i="1"/>
  <c r="D1076" i="1" a="1"/>
  <c r="D1076" i="1" s="1"/>
  <c r="J1075" i="1"/>
  <c r="L1075" i="1" s="1"/>
  <c r="D1075" i="1" a="1"/>
  <c r="D1075" i="1" s="1"/>
  <c r="J1074" i="1"/>
  <c r="D1074" i="1" a="1"/>
  <c r="D1074" i="1" s="1"/>
  <c r="J1073" i="1"/>
  <c r="D1073" i="1" a="1"/>
  <c r="D1073" i="1" s="1"/>
  <c r="J1072" i="1"/>
  <c r="D1072" i="1" a="1"/>
  <c r="D1072" i="1" s="1"/>
  <c r="J1071" i="1"/>
  <c r="D1071" i="1" a="1"/>
  <c r="D1071" i="1" s="1"/>
  <c r="J1070" i="1"/>
  <c r="D1070" i="1" a="1"/>
  <c r="D1070" i="1" s="1"/>
  <c r="J1069" i="1"/>
  <c r="D1069" i="1" a="1"/>
  <c r="D1069" i="1" s="1"/>
  <c r="J1068" i="1"/>
  <c r="L1068" i="1" s="1"/>
  <c r="D1068" i="1" a="1"/>
  <c r="D1068" i="1" s="1"/>
  <c r="L1067" i="1"/>
  <c r="D1067" i="1" a="1"/>
  <c r="D1067" i="1" s="1"/>
  <c r="L1066" i="1"/>
  <c r="D1066" i="1" a="1"/>
  <c r="D1066" i="1" s="1"/>
  <c r="J1065" i="1"/>
  <c r="D1065" i="1" a="1"/>
  <c r="D1065" i="1" s="1"/>
  <c r="L1064" i="1"/>
  <c r="D1064" i="1" a="1"/>
  <c r="D1064" i="1" s="1"/>
  <c r="J1063" i="1"/>
  <c r="D1063" i="1" a="1"/>
  <c r="D1063" i="1" s="1"/>
  <c r="J1062" i="1"/>
  <c r="L1062" i="1" s="1"/>
  <c r="D1062" i="1" a="1"/>
  <c r="D1062" i="1" s="1"/>
  <c r="D1061" i="1" a="1"/>
  <c r="D1061" i="1" s="1"/>
  <c r="D1060" i="1" a="1"/>
  <c r="D1060" i="1" s="1"/>
  <c r="D1059" i="1" a="1"/>
  <c r="D1059" i="1" s="1"/>
  <c r="D1058" i="1" a="1"/>
  <c r="D1058" i="1" s="1"/>
  <c r="D1057" i="1" a="1"/>
  <c r="D1057" i="1" s="1"/>
  <c r="J1056" i="1"/>
  <c r="L1056" i="1" s="1"/>
  <c r="D1056" i="1" a="1"/>
  <c r="D1056" i="1" s="1"/>
  <c r="J1055" i="1"/>
  <c r="L1055" i="1" s="1"/>
  <c r="D1055" i="1" a="1"/>
  <c r="D1055" i="1" s="1"/>
  <c r="J1054" i="1"/>
  <c r="L1054" i="1" s="1"/>
  <c r="D1054" i="1" a="1"/>
  <c r="D1054" i="1" s="1"/>
  <c r="D1053" i="1" a="1"/>
  <c r="D1053" i="1" s="1"/>
  <c r="J1052" i="1"/>
  <c r="D1052" i="1" a="1"/>
  <c r="D1052" i="1" s="1"/>
  <c r="J1051" i="1"/>
  <c r="D1051" i="1" a="1"/>
  <c r="D1051" i="1" s="1"/>
  <c r="J1050" i="1"/>
  <c r="D1050" i="1" a="1"/>
  <c r="D1050" i="1" s="1"/>
  <c r="D1049" i="1" a="1"/>
  <c r="D1049" i="1" s="1"/>
  <c r="D1048" i="1" a="1"/>
  <c r="D1048" i="1" s="1"/>
  <c r="D1047" i="1" a="1"/>
  <c r="D1047" i="1" s="1"/>
  <c r="D1046" i="1" a="1"/>
  <c r="D1046" i="1" s="1"/>
  <c r="D1045" i="1" a="1"/>
  <c r="D1045" i="1" s="1"/>
  <c r="D1044" i="1" a="1"/>
  <c r="D1044" i="1" s="1"/>
  <c r="D1043" i="1" a="1"/>
  <c r="D1043" i="1" s="1"/>
  <c r="D1042" i="1" a="1"/>
  <c r="D1042" i="1" s="1"/>
  <c r="D1041" i="1" a="1"/>
  <c r="D1041" i="1" s="1"/>
  <c r="D1040" i="1" a="1"/>
  <c r="D1040" i="1" s="1"/>
  <c r="D1039" i="1" a="1"/>
  <c r="D1039" i="1" s="1"/>
  <c r="D1038" i="1" a="1"/>
  <c r="D1038" i="1" s="1"/>
  <c r="D1037" i="1" a="1"/>
  <c r="D1037" i="1" s="1"/>
  <c r="D1036" i="1" a="1"/>
  <c r="D1036" i="1" s="1"/>
  <c r="D1035" i="1" a="1"/>
  <c r="D1035" i="1" s="1"/>
  <c r="D1034" i="1" a="1"/>
  <c r="D1034" i="1" s="1"/>
  <c r="D1033" i="1" a="1"/>
  <c r="D1033" i="1" s="1"/>
  <c r="D1032" i="1" a="1"/>
  <c r="D1032" i="1" s="1"/>
  <c r="D1031" i="1" a="1"/>
  <c r="D1031" i="1" s="1"/>
  <c r="D1030" i="1" a="1"/>
  <c r="D1030" i="1" s="1"/>
  <c r="D1029" i="1" a="1"/>
  <c r="D1029" i="1" s="1"/>
  <c r="D1028" i="1" a="1"/>
  <c r="D1028" i="1" s="1"/>
  <c r="D1027" i="1" a="1"/>
  <c r="D1027" i="1" s="1"/>
  <c r="D1026" i="1" a="1"/>
  <c r="D1026" i="1" s="1"/>
  <c r="D1025" i="1" a="1"/>
  <c r="D1025" i="1" s="1"/>
  <c r="D1024" i="1" a="1"/>
  <c r="D1024" i="1" s="1"/>
  <c r="D1023" i="1" a="1"/>
  <c r="D1023" i="1" s="1"/>
  <c r="D1022" i="1" a="1"/>
  <c r="D1022" i="1" s="1"/>
  <c r="D1021" i="1" a="1"/>
  <c r="D1021" i="1" s="1"/>
  <c r="D1020" i="1" a="1"/>
  <c r="D1020" i="1" s="1"/>
  <c r="D1019" i="1" a="1"/>
  <c r="D1019" i="1" s="1"/>
  <c r="D1018" i="1" a="1"/>
  <c r="D1018" i="1" s="1"/>
  <c r="D1017" i="1" a="1"/>
  <c r="D1017" i="1" s="1"/>
  <c r="D1016" i="1" a="1"/>
  <c r="D1016" i="1" s="1"/>
  <c r="D1015" i="1" a="1"/>
  <c r="D1015" i="1" s="1"/>
  <c r="D1014" i="1" a="1"/>
  <c r="D1014" i="1" s="1"/>
  <c r="D1013" i="1" a="1"/>
  <c r="D1013" i="1" s="1"/>
  <c r="D1012" i="1" a="1"/>
  <c r="D1012" i="1" s="1"/>
  <c r="D1011" i="1" a="1"/>
  <c r="D1011" i="1" s="1"/>
  <c r="D1010" i="1" a="1"/>
  <c r="D1010" i="1" s="1"/>
  <c r="D1009" i="1" a="1"/>
  <c r="D1009" i="1" s="1"/>
  <c r="D1008" i="1" a="1"/>
  <c r="D1008" i="1" s="1"/>
  <c r="D1007" i="1" a="1"/>
  <c r="D1007" i="1" s="1"/>
  <c r="D1006" i="1" a="1"/>
  <c r="D1006" i="1" s="1"/>
  <c r="D1005" i="1" a="1"/>
  <c r="D1005" i="1" s="1"/>
  <c r="D1004" i="1" a="1"/>
  <c r="D1004" i="1" s="1"/>
  <c r="D1003" i="1" a="1"/>
  <c r="D1003" i="1" s="1"/>
  <c r="D1002" i="1" a="1"/>
  <c r="D1002" i="1" s="1"/>
  <c r="D1001" i="1" a="1"/>
  <c r="D1001" i="1" s="1"/>
  <c r="D1000" i="1" a="1"/>
  <c r="D1000" i="1" s="1"/>
  <c r="D999" i="1" a="1"/>
  <c r="D999" i="1" s="1"/>
  <c r="D998" i="1" a="1"/>
  <c r="D998" i="1" s="1"/>
  <c r="D997" i="1" a="1"/>
  <c r="D997" i="1" s="1"/>
  <c r="D996" i="1" a="1"/>
  <c r="D996" i="1" s="1"/>
  <c r="D995" i="1" a="1"/>
  <c r="D995" i="1" s="1"/>
  <c r="D994" i="1" a="1"/>
  <c r="D994" i="1" s="1"/>
  <c r="D993" i="1" a="1"/>
  <c r="D993" i="1" s="1"/>
  <c r="D992" i="1" a="1"/>
  <c r="D992" i="1" s="1"/>
  <c r="D991" i="1" a="1"/>
  <c r="D991" i="1" s="1"/>
  <c r="D990" i="1" a="1"/>
  <c r="D990" i="1" s="1"/>
  <c r="D989" i="1" a="1"/>
  <c r="D989" i="1" s="1"/>
  <c r="D988" i="1" a="1"/>
  <c r="D988" i="1" s="1"/>
  <c r="D987" i="1" a="1"/>
  <c r="D987" i="1" s="1"/>
  <c r="D986" i="1" a="1"/>
  <c r="D986" i="1" s="1"/>
  <c r="D985" i="1" a="1"/>
  <c r="D985" i="1" s="1"/>
  <c r="D984" i="1" a="1"/>
  <c r="D984" i="1" s="1"/>
  <c r="D983" i="1" a="1"/>
  <c r="D983" i="1" s="1"/>
  <c r="D982" i="1" a="1"/>
  <c r="D982" i="1" s="1"/>
  <c r="D981" i="1" a="1"/>
  <c r="D981" i="1" s="1"/>
  <c r="D980" i="1" a="1"/>
  <c r="D980" i="1" s="1"/>
  <c r="D979" i="1" a="1"/>
  <c r="D979" i="1" s="1"/>
  <c r="D978" i="1" a="1"/>
  <c r="D978" i="1" s="1"/>
  <c r="D977" i="1" a="1"/>
  <c r="D977" i="1" s="1"/>
  <c r="D976" i="1" a="1"/>
  <c r="D976" i="1" s="1"/>
  <c r="D975" i="1" a="1"/>
  <c r="D975" i="1" s="1"/>
  <c r="D974" i="1" a="1"/>
  <c r="D974" i="1" s="1"/>
  <c r="D973" i="1" a="1"/>
  <c r="D973" i="1" s="1"/>
  <c r="D972" i="1" a="1"/>
  <c r="D972" i="1" s="1"/>
  <c r="D971" i="1" a="1"/>
  <c r="D971" i="1" s="1"/>
  <c r="D970" i="1" a="1"/>
  <c r="D970" i="1" s="1"/>
  <c r="D969" i="1" a="1"/>
  <c r="D969" i="1" s="1"/>
  <c r="D968" i="1" a="1"/>
  <c r="D968" i="1" s="1"/>
  <c r="D967" i="1" a="1"/>
  <c r="D967" i="1" s="1"/>
  <c r="D966" i="1" a="1"/>
  <c r="D966" i="1" s="1"/>
  <c r="D965" i="1" a="1"/>
  <c r="D965" i="1" s="1"/>
  <c r="D964" i="1" a="1"/>
  <c r="D964" i="1" s="1"/>
  <c r="D963" i="1" a="1"/>
  <c r="D963" i="1" s="1"/>
  <c r="D962" i="1" a="1"/>
  <c r="D962" i="1" s="1"/>
  <c r="D961" i="1" a="1"/>
  <c r="D961" i="1" s="1"/>
  <c r="D960" i="1" a="1"/>
  <c r="D960" i="1" s="1"/>
  <c r="D959" i="1" a="1"/>
  <c r="D959" i="1" s="1"/>
  <c r="D958" i="1" a="1"/>
  <c r="D958" i="1" s="1"/>
  <c r="D957" i="1" a="1"/>
  <c r="D957" i="1" s="1"/>
  <c r="D956" i="1" a="1"/>
  <c r="D956" i="1" s="1"/>
  <c r="D955" i="1" a="1"/>
  <c r="D955" i="1" s="1"/>
  <c r="D954" i="1" a="1"/>
  <c r="D954" i="1" s="1"/>
  <c r="D953" i="1" a="1"/>
  <c r="D953" i="1" s="1"/>
  <c r="D952" i="1" a="1"/>
  <c r="D952" i="1" s="1"/>
  <c r="D951" i="1" a="1"/>
  <c r="D951" i="1" s="1"/>
  <c r="D950" i="1" a="1"/>
  <c r="D950" i="1" s="1"/>
  <c r="D949" i="1" a="1"/>
  <c r="D949" i="1" s="1"/>
  <c r="D948" i="1" a="1"/>
  <c r="D948" i="1" s="1"/>
  <c r="D947" i="1" a="1"/>
  <c r="D947" i="1" s="1"/>
  <c r="D946" i="1" a="1"/>
  <c r="D946" i="1" s="1"/>
  <c r="D945" i="1" a="1"/>
  <c r="D945" i="1" s="1"/>
  <c r="D944" i="1" a="1"/>
  <c r="D944" i="1" s="1"/>
  <c r="D943" i="1" a="1"/>
  <c r="D943" i="1" s="1"/>
  <c r="D942" i="1" a="1"/>
  <c r="D942" i="1" s="1"/>
  <c r="D941" i="1" a="1"/>
  <c r="D941" i="1" s="1"/>
  <c r="D940" i="1" a="1"/>
  <c r="D940" i="1" s="1"/>
  <c r="D939" i="1" a="1"/>
  <c r="D939" i="1" s="1"/>
  <c r="D938" i="1" a="1"/>
  <c r="D938" i="1" s="1"/>
  <c r="D937" i="1" a="1"/>
  <c r="D937" i="1" s="1"/>
  <c r="D936" i="1" a="1"/>
  <c r="D936" i="1" s="1"/>
  <c r="D935" i="1" a="1"/>
  <c r="D935" i="1" s="1"/>
  <c r="D934" i="1" a="1"/>
  <c r="D934" i="1" s="1"/>
  <c r="D933" i="1" a="1"/>
  <c r="D933" i="1" s="1"/>
  <c r="D932" i="1" a="1"/>
  <c r="D932" i="1" s="1"/>
  <c r="D931" i="1" a="1"/>
  <c r="D931" i="1" s="1"/>
  <c r="D930" i="1" a="1"/>
  <c r="D930" i="1" s="1"/>
  <c r="D929" i="1" a="1"/>
  <c r="D929" i="1" s="1"/>
  <c r="D928" i="1" a="1"/>
  <c r="D928" i="1" s="1"/>
  <c r="D927" i="1" a="1"/>
  <c r="D927" i="1" s="1"/>
  <c r="D926" i="1" a="1"/>
  <c r="D926" i="1" s="1"/>
  <c r="D925" i="1" a="1"/>
  <c r="D925" i="1" s="1"/>
  <c r="D924" i="1" a="1"/>
  <c r="D924" i="1" s="1"/>
  <c r="D923" i="1" a="1"/>
  <c r="D923" i="1" s="1"/>
  <c r="D922" i="1" a="1"/>
  <c r="D922" i="1" s="1"/>
  <c r="D921" i="1" a="1"/>
  <c r="D921" i="1" s="1"/>
  <c r="D920" i="1" a="1"/>
  <c r="D920" i="1" s="1"/>
  <c r="D919" i="1" a="1"/>
  <c r="D919" i="1" s="1"/>
  <c r="D918" i="1" a="1"/>
  <c r="D918" i="1" s="1"/>
  <c r="D917" i="1" a="1"/>
  <c r="D917" i="1" s="1"/>
  <c r="D916" i="1" a="1"/>
  <c r="D916" i="1" s="1"/>
  <c r="D915" i="1" a="1"/>
  <c r="D915" i="1" s="1"/>
  <c r="D914" i="1" a="1"/>
  <c r="D914" i="1" s="1"/>
  <c r="D913" i="1" a="1"/>
  <c r="D913" i="1" s="1"/>
  <c r="D912" i="1" a="1"/>
  <c r="D912" i="1" s="1"/>
  <c r="D911" i="1" a="1"/>
  <c r="D911" i="1" s="1"/>
  <c r="D910" i="1" a="1"/>
  <c r="D910" i="1" s="1"/>
  <c r="D909" i="1" a="1"/>
  <c r="D909" i="1" s="1"/>
  <c r="D908" i="1" a="1"/>
  <c r="D908" i="1" s="1"/>
  <c r="D907" i="1" a="1"/>
  <c r="D907" i="1" s="1"/>
  <c r="D906" i="1" a="1"/>
  <c r="D906" i="1" s="1"/>
  <c r="D905" i="1" a="1"/>
  <c r="D905" i="1" s="1"/>
  <c r="D904" i="1" a="1"/>
  <c r="D904" i="1" s="1"/>
  <c r="D903" i="1" a="1"/>
  <c r="D903" i="1" s="1"/>
  <c r="D902" i="1" a="1"/>
  <c r="D902" i="1" s="1"/>
  <c r="D901" i="1" a="1"/>
  <c r="D901" i="1" s="1"/>
  <c r="D900" i="1" a="1"/>
  <c r="D900" i="1" s="1"/>
  <c r="D899" i="1" a="1"/>
  <c r="D899" i="1" s="1"/>
  <c r="D898" i="1" a="1"/>
  <c r="D898" i="1" s="1"/>
  <c r="D897" i="1" a="1"/>
  <c r="D897" i="1" s="1"/>
  <c r="D896" i="1" a="1"/>
  <c r="D896" i="1" s="1"/>
  <c r="D895" i="1" a="1"/>
  <c r="D895" i="1" s="1"/>
  <c r="D894" i="1" a="1"/>
  <c r="D894" i="1" s="1"/>
  <c r="D893" i="1" a="1"/>
  <c r="D893" i="1" s="1"/>
  <c r="D892" i="1" a="1"/>
  <c r="D892" i="1" s="1"/>
  <c r="D891" i="1" a="1"/>
  <c r="D891" i="1" s="1"/>
  <c r="D890" i="1" a="1"/>
  <c r="D890" i="1" s="1"/>
  <c r="D889" i="1" a="1"/>
  <c r="D889" i="1" s="1"/>
  <c r="L888" i="1"/>
  <c r="D888" i="1" a="1"/>
  <c r="D888" i="1" s="1"/>
  <c r="L887" i="1"/>
  <c r="D887" i="1" a="1"/>
  <c r="D887" i="1" s="1"/>
  <c r="D886" i="1" a="1"/>
  <c r="D886" i="1" s="1"/>
  <c r="J885" i="1"/>
  <c r="D885" i="1" a="1"/>
  <c r="D885" i="1" s="1"/>
  <c r="J884" i="1"/>
  <c r="D884" i="1" a="1"/>
  <c r="D884" i="1" s="1"/>
  <c r="J883" i="1"/>
  <c r="D883" i="1" a="1"/>
  <c r="D883" i="1" s="1"/>
  <c r="J882" i="1"/>
  <c r="D882" i="1" a="1"/>
  <c r="D882" i="1" s="1"/>
  <c r="J881" i="1"/>
  <c r="D881" i="1" a="1"/>
  <c r="D881" i="1" s="1"/>
  <c r="J880" i="1"/>
  <c r="D880" i="1" a="1"/>
  <c r="D880" i="1" s="1"/>
  <c r="J879" i="1"/>
  <c r="D879" i="1" a="1"/>
  <c r="D879" i="1" s="1"/>
  <c r="J878" i="1"/>
  <c r="D878" i="1" a="1"/>
  <c r="D878" i="1" s="1"/>
  <c r="J877" i="1"/>
  <c r="D877" i="1" a="1"/>
  <c r="D877" i="1" s="1"/>
  <c r="J876" i="1"/>
  <c r="D876" i="1" a="1"/>
  <c r="D876" i="1" s="1"/>
  <c r="J875" i="1"/>
  <c r="D875" i="1" a="1"/>
  <c r="D875" i="1" s="1"/>
  <c r="J874" i="1"/>
  <c r="D874" i="1" a="1"/>
  <c r="D874" i="1" s="1"/>
  <c r="J873" i="1"/>
  <c r="D873" i="1" a="1"/>
  <c r="D873" i="1" s="1"/>
  <c r="J872" i="1"/>
  <c r="D872" i="1" a="1"/>
  <c r="D872" i="1" s="1"/>
  <c r="J871" i="1"/>
  <c r="D871" i="1" a="1"/>
  <c r="D871" i="1" s="1"/>
  <c r="J870" i="1"/>
  <c r="D870" i="1" a="1"/>
  <c r="D870" i="1" s="1"/>
  <c r="J869" i="1"/>
  <c r="D869" i="1" a="1"/>
  <c r="D869" i="1" s="1"/>
  <c r="J868" i="1"/>
  <c r="D868" i="1" a="1"/>
  <c r="D868" i="1" s="1"/>
  <c r="J867" i="1"/>
  <c r="D867" i="1" a="1"/>
  <c r="D867" i="1" s="1"/>
  <c r="J866" i="1"/>
  <c r="D866" i="1" a="1"/>
  <c r="D866" i="1" s="1"/>
  <c r="J865" i="1"/>
  <c r="D865" i="1" a="1"/>
  <c r="D865" i="1" s="1"/>
  <c r="J864" i="1"/>
  <c r="D864" i="1" a="1"/>
  <c r="D864" i="1" s="1"/>
  <c r="J863" i="1"/>
  <c r="D863" i="1" a="1"/>
  <c r="D863" i="1" s="1"/>
  <c r="J862" i="1"/>
  <c r="D862" i="1" a="1"/>
  <c r="D862" i="1" s="1"/>
  <c r="J861" i="1"/>
  <c r="D861" i="1" a="1"/>
  <c r="D861" i="1" s="1"/>
  <c r="J860" i="1"/>
  <c r="D860" i="1" a="1"/>
  <c r="D860" i="1" s="1"/>
  <c r="J859" i="1"/>
  <c r="D859" i="1" a="1"/>
  <c r="D859" i="1" s="1"/>
  <c r="J858" i="1"/>
  <c r="D858" i="1" a="1"/>
  <c r="D858" i="1" s="1"/>
  <c r="J857" i="1"/>
  <c r="D857" i="1" a="1"/>
  <c r="D857" i="1" s="1"/>
  <c r="J856" i="1"/>
  <c r="D856" i="1" a="1"/>
  <c r="D856" i="1" s="1"/>
  <c r="D855" i="1" a="1"/>
  <c r="D855" i="1" s="1"/>
  <c r="J854" i="1"/>
  <c r="D854" i="1" a="1"/>
  <c r="D854" i="1" s="1"/>
  <c r="J853" i="1"/>
  <c r="D853" i="1" a="1"/>
  <c r="D853" i="1" s="1"/>
  <c r="J852" i="1"/>
  <c r="D852" i="1" a="1"/>
  <c r="D852" i="1" s="1"/>
  <c r="J851" i="1"/>
  <c r="D851" i="1" a="1"/>
  <c r="D851" i="1" s="1"/>
  <c r="J850" i="1"/>
  <c r="D850" i="1" a="1"/>
  <c r="D850" i="1" s="1"/>
  <c r="J849" i="1"/>
  <c r="D849" i="1" a="1"/>
  <c r="D849" i="1" s="1"/>
  <c r="J848" i="1"/>
  <c r="D848" i="1" a="1"/>
  <c r="D848" i="1" s="1"/>
  <c r="J847" i="1"/>
  <c r="D847" i="1" a="1"/>
  <c r="D847" i="1" s="1"/>
  <c r="J846" i="1"/>
  <c r="D846" i="1" a="1"/>
  <c r="D846" i="1" s="1"/>
  <c r="J845" i="1"/>
  <c r="D845" i="1" a="1"/>
  <c r="D845" i="1" s="1"/>
  <c r="D844" i="1" a="1"/>
  <c r="D844" i="1" s="1"/>
  <c r="D843" i="1" a="1"/>
  <c r="D843" i="1" s="1"/>
  <c r="J842" i="1"/>
  <c r="D842" i="1" a="1"/>
  <c r="D842" i="1" s="1"/>
  <c r="D841" i="1" a="1"/>
  <c r="D841" i="1" s="1"/>
  <c r="D840" i="1" a="1"/>
  <c r="D840" i="1" s="1"/>
  <c r="D839" i="1" a="1"/>
  <c r="D839" i="1" s="1"/>
  <c r="D838" i="1" a="1"/>
  <c r="D838" i="1" s="1"/>
  <c r="D837" i="1" a="1"/>
  <c r="D837" i="1" s="1"/>
  <c r="J836" i="1"/>
  <c r="D836" i="1" a="1"/>
  <c r="D836" i="1" s="1"/>
  <c r="J835" i="1"/>
  <c r="D835" i="1" a="1"/>
  <c r="D835" i="1" s="1"/>
  <c r="D834" i="1" a="1"/>
  <c r="D834" i="1" s="1"/>
  <c r="J833" i="1"/>
  <c r="D833" i="1" a="1"/>
  <c r="D833" i="1" s="1"/>
  <c r="D832" i="1" a="1"/>
  <c r="D832" i="1" s="1"/>
  <c r="D831" i="1" a="1"/>
  <c r="D831" i="1" s="1"/>
  <c r="D830" i="1" a="1"/>
  <c r="D830" i="1" s="1"/>
  <c r="J829" i="1"/>
  <c r="D829" i="1" a="1"/>
  <c r="D829" i="1" s="1"/>
  <c r="D828" i="1" a="1"/>
  <c r="D828" i="1" s="1"/>
  <c r="J827" i="1"/>
  <c r="D827" i="1" a="1"/>
  <c r="D827" i="1" s="1"/>
  <c r="D826" i="1" a="1"/>
  <c r="D826" i="1" s="1"/>
  <c r="J825" i="1"/>
  <c r="D825" i="1" a="1"/>
  <c r="D825" i="1" s="1"/>
  <c r="J824" i="1"/>
  <c r="D824" i="1" a="1"/>
  <c r="D824" i="1" s="1"/>
  <c r="J823" i="1"/>
  <c r="D823" i="1" a="1"/>
  <c r="D823" i="1" s="1"/>
  <c r="J822" i="1"/>
  <c r="D822" i="1" a="1"/>
  <c r="D822" i="1" s="1"/>
  <c r="J821" i="1"/>
  <c r="D821" i="1" a="1"/>
  <c r="D821" i="1" s="1"/>
  <c r="J820" i="1"/>
  <c r="D820" i="1" a="1"/>
  <c r="D820" i="1" s="1"/>
  <c r="J819" i="1"/>
  <c r="D819" i="1" a="1"/>
  <c r="D819" i="1" s="1"/>
  <c r="J818" i="1"/>
  <c r="D818" i="1" a="1"/>
  <c r="D818" i="1" s="1"/>
  <c r="J817" i="1"/>
  <c r="D817" i="1" a="1"/>
  <c r="D817" i="1" s="1"/>
  <c r="D816" i="1" a="1"/>
  <c r="D816" i="1" s="1"/>
  <c r="J815" i="1"/>
  <c r="D815" i="1" a="1"/>
  <c r="D815" i="1" s="1"/>
  <c r="J814" i="1"/>
  <c r="D814" i="1" a="1"/>
  <c r="D814" i="1" s="1"/>
  <c r="D813" i="1" a="1"/>
  <c r="D813" i="1" s="1"/>
  <c r="D812" i="1" a="1"/>
  <c r="D812" i="1" s="1"/>
  <c r="D811" i="1" a="1"/>
  <c r="D811" i="1" s="1"/>
  <c r="D810" i="1" a="1"/>
  <c r="D810" i="1" s="1"/>
  <c r="D809" i="1" a="1"/>
  <c r="D809" i="1" s="1"/>
  <c r="D808" i="1" a="1"/>
  <c r="D808" i="1" s="1"/>
  <c r="J807" i="1"/>
  <c r="D807" i="1" a="1"/>
  <c r="D807" i="1" s="1"/>
  <c r="J806" i="1"/>
  <c r="D806" i="1" a="1"/>
  <c r="D806" i="1" s="1"/>
  <c r="J805" i="1"/>
  <c r="D805" i="1" a="1"/>
  <c r="D805" i="1" s="1"/>
  <c r="J804" i="1"/>
  <c r="D804" i="1" a="1"/>
  <c r="D804" i="1" s="1"/>
  <c r="J803" i="1"/>
  <c r="D803" i="1" a="1"/>
  <c r="D803" i="1" s="1"/>
  <c r="J802" i="1"/>
  <c r="D802" i="1" a="1"/>
  <c r="D802" i="1" s="1"/>
  <c r="J801" i="1"/>
  <c r="D801" i="1" a="1"/>
  <c r="D801" i="1" s="1"/>
  <c r="J800" i="1"/>
  <c r="D800" i="1" a="1"/>
  <c r="D800" i="1" s="1"/>
  <c r="J799" i="1"/>
  <c r="D799" i="1" a="1"/>
  <c r="D799" i="1" s="1"/>
  <c r="J798" i="1"/>
  <c r="D798" i="1" a="1"/>
  <c r="D798" i="1" s="1"/>
  <c r="J797" i="1"/>
  <c r="D797" i="1" a="1"/>
  <c r="D797" i="1" s="1"/>
  <c r="J796" i="1"/>
  <c r="D796" i="1" a="1"/>
  <c r="D796" i="1" s="1"/>
  <c r="J795" i="1"/>
  <c r="D795" i="1" a="1"/>
  <c r="D795" i="1" s="1"/>
  <c r="J794" i="1"/>
  <c r="D794" i="1" a="1"/>
  <c r="D794" i="1" s="1"/>
  <c r="J793" i="1"/>
  <c r="D793" i="1" a="1"/>
  <c r="D793" i="1" s="1"/>
  <c r="J792" i="1"/>
  <c r="D792" i="1" a="1"/>
  <c r="D792" i="1" s="1"/>
  <c r="J791" i="1"/>
  <c r="D791" i="1" a="1"/>
  <c r="D791" i="1" s="1"/>
  <c r="J790" i="1"/>
  <c r="D790" i="1" a="1"/>
  <c r="D790" i="1" s="1"/>
  <c r="J789" i="1"/>
  <c r="D789" i="1" a="1"/>
  <c r="D789" i="1" s="1"/>
  <c r="J788" i="1"/>
  <c r="D788" i="1" a="1"/>
  <c r="D788" i="1" s="1"/>
  <c r="J787" i="1"/>
  <c r="D787" i="1" a="1"/>
  <c r="D787" i="1" s="1"/>
  <c r="J786" i="1"/>
  <c r="D786" i="1" a="1"/>
  <c r="D786" i="1" s="1"/>
  <c r="J785" i="1"/>
  <c r="D785" i="1" a="1"/>
  <c r="D785" i="1" s="1"/>
  <c r="J784" i="1"/>
  <c r="D784" i="1" a="1"/>
  <c r="D784" i="1" s="1"/>
  <c r="J783" i="1"/>
  <c r="D783" i="1" a="1"/>
  <c r="D783" i="1" s="1"/>
  <c r="D782" i="1" a="1"/>
  <c r="D782" i="1" s="1"/>
  <c r="J781" i="1"/>
  <c r="D781" i="1" a="1"/>
  <c r="D781" i="1" s="1"/>
  <c r="J780" i="1"/>
  <c r="D780" i="1" a="1"/>
  <c r="D780" i="1" s="1"/>
  <c r="J779" i="1"/>
  <c r="D779" i="1" a="1"/>
  <c r="D779" i="1" s="1"/>
  <c r="J778" i="1"/>
  <c r="D778" i="1" a="1"/>
  <c r="D778" i="1" s="1"/>
  <c r="D777" i="1" a="1"/>
  <c r="D777" i="1" s="1"/>
  <c r="J776" i="1"/>
  <c r="D776" i="1" a="1"/>
  <c r="D776" i="1" s="1"/>
  <c r="J775" i="1"/>
  <c r="D775" i="1" a="1"/>
  <c r="D775" i="1" s="1"/>
  <c r="J774" i="1"/>
  <c r="D774" i="1" a="1"/>
  <c r="D774" i="1" s="1"/>
  <c r="J773" i="1"/>
  <c r="D773" i="1" a="1"/>
  <c r="D773" i="1" s="1"/>
  <c r="J772" i="1"/>
  <c r="D772" i="1" a="1"/>
  <c r="D772" i="1" s="1"/>
  <c r="D771" i="1" a="1"/>
  <c r="D771" i="1" s="1"/>
  <c r="D770" i="1" a="1"/>
  <c r="D770" i="1" s="1"/>
  <c r="D769" i="1" a="1"/>
  <c r="D769" i="1" s="1"/>
  <c r="J768" i="1"/>
  <c r="D768" i="1" a="1"/>
  <c r="D768" i="1" s="1"/>
  <c r="J767" i="1"/>
  <c r="D767" i="1" a="1"/>
  <c r="D767" i="1" s="1"/>
  <c r="J766" i="1"/>
  <c r="D766" i="1" a="1"/>
  <c r="D766" i="1" s="1"/>
  <c r="J765" i="1"/>
  <c r="D765" i="1" a="1"/>
  <c r="D765" i="1" s="1"/>
  <c r="J764" i="1"/>
  <c r="D764" i="1" a="1"/>
  <c r="D764" i="1" s="1"/>
  <c r="J763" i="1"/>
  <c r="D763" i="1" a="1"/>
  <c r="D763" i="1" s="1"/>
  <c r="J762" i="1"/>
  <c r="D762" i="1" a="1"/>
  <c r="D762" i="1" s="1"/>
  <c r="J761" i="1"/>
  <c r="D761" i="1" a="1"/>
  <c r="D761" i="1" s="1"/>
  <c r="D760" i="1" a="1"/>
  <c r="D760" i="1" s="1"/>
  <c r="D759" i="1" a="1"/>
  <c r="D759" i="1" s="1"/>
  <c r="D758" i="1" a="1"/>
  <c r="D758" i="1" s="1"/>
  <c r="J757" i="1"/>
  <c r="D757" i="1" a="1"/>
  <c r="D757" i="1" s="1"/>
  <c r="J756" i="1"/>
  <c r="D756" i="1" a="1"/>
  <c r="D756" i="1" s="1"/>
  <c r="D755" i="1" a="1"/>
  <c r="D755" i="1" s="1"/>
  <c r="D754" i="1" a="1"/>
  <c r="D754" i="1" s="1"/>
  <c r="D753" i="1" a="1"/>
  <c r="D753" i="1" s="1"/>
  <c r="J752" i="1"/>
  <c r="D752" i="1" a="1"/>
  <c r="D752" i="1" s="1"/>
  <c r="J751" i="1"/>
  <c r="D751" i="1" a="1"/>
  <c r="D751" i="1" s="1"/>
  <c r="J750" i="1"/>
  <c r="D750" i="1" a="1"/>
  <c r="D750" i="1" s="1"/>
  <c r="D749" i="1" a="1"/>
  <c r="D749" i="1" s="1"/>
  <c r="D748" i="1" a="1"/>
  <c r="D748" i="1" s="1"/>
  <c r="J747" i="1"/>
  <c r="D747" i="1" a="1"/>
  <c r="D747" i="1" s="1"/>
  <c r="D746" i="1" a="1"/>
  <c r="D746" i="1" s="1"/>
  <c r="J745" i="1"/>
  <c r="D745" i="1" a="1"/>
  <c r="D745" i="1" s="1"/>
  <c r="J744" i="1"/>
  <c r="D744" i="1" a="1"/>
  <c r="D744" i="1" s="1"/>
  <c r="J743" i="1"/>
  <c r="D743" i="1" a="1"/>
  <c r="D743" i="1" s="1"/>
  <c r="J742" i="1"/>
  <c r="D742" i="1" a="1"/>
  <c r="D742" i="1" s="1"/>
  <c r="J741" i="1"/>
  <c r="D741" i="1" a="1"/>
  <c r="D741" i="1" s="1"/>
  <c r="J740" i="1"/>
  <c r="D740" i="1" a="1"/>
  <c r="D740" i="1" s="1"/>
  <c r="J739" i="1"/>
  <c r="D739" i="1" a="1"/>
  <c r="D739" i="1" s="1"/>
  <c r="J738" i="1"/>
  <c r="D738" i="1" a="1"/>
  <c r="D738" i="1" s="1"/>
  <c r="J737" i="1"/>
  <c r="D737" i="1" a="1"/>
  <c r="D737" i="1" s="1"/>
  <c r="J736" i="1"/>
  <c r="D736" i="1" a="1"/>
  <c r="D736" i="1" s="1"/>
  <c r="J735" i="1"/>
  <c r="D735" i="1" a="1"/>
  <c r="D735" i="1" s="1"/>
  <c r="J734" i="1"/>
  <c r="D734" i="1" a="1"/>
  <c r="D734" i="1" s="1"/>
  <c r="J733" i="1"/>
  <c r="D733" i="1" a="1"/>
  <c r="D733" i="1" s="1"/>
  <c r="J732" i="1"/>
  <c r="D732" i="1" a="1"/>
  <c r="D732" i="1" s="1"/>
  <c r="D731" i="1" a="1"/>
  <c r="D731" i="1" s="1"/>
  <c r="D730" i="1" a="1"/>
  <c r="D730" i="1" s="1"/>
  <c r="D729" i="1" a="1"/>
  <c r="D729" i="1" s="1"/>
  <c r="D728" i="1" a="1"/>
  <c r="D728" i="1" s="1"/>
  <c r="J727" i="1"/>
  <c r="D727" i="1" a="1"/>
  <c r="D727" i="1" s="1"/>
  <c r="J726" i="1"/>
  <c r="D726" i="1" a="1"/>
  <c r="D726" i="1" s="1"/>
  <c r="J725" i="1"/>
  <c r="D725" i="1" a="1"/>
  <c r="D725" i="1" s="1"/>
  <c r="J724" i="1"/>
  <c r="D724" i="1" a="1"/>
  <c r="D724" i="1" s="1"/>
  <c r="J723" i="1"/>
  <c r="D723" i="1" a="1"/>
  <c r="D723" i="1" s="1"/>
  <c r="J722" i="1"/>
  <c r="D722" i="1" a="1"/>
  <c r="D722" i="1" s="1"/>
  <c r="J721" i="1"/>
  <c r="D721" i="1" a="1"/>
  <c r="D721" i="1" s="1"/>
  <c r="J720" i="1"/>
  <c r="D720" i="1" a="1"/>
  <c r="D720" i="1" s="1"/>
  <c r="J719" i="1"/>
  <c r="D719" i="1" a="1"/>
  <c r="D719" i="1" s="1"/>
  <c r="J718" i="1"/>
  <c r="D718" i="1" a="1"/>
  <c r="D718" i="1" s="1"/>
  <c r="J717" i="1"/>
  <c r="D717" i="1" a="1"/>
  <c r="D717" i="1" s="1"/>
  <c r="J716" i="1"/>
  <c r="D716" i="1" a="1"/>
  <c r="D716" i="1" s="1"/>
  <c r="J715" i="1"/>
  <c r="D715" i="1" a="1"/>
  <c r="D715" i="1" s="1"/>
  <c r="J714" i="1"/>
  <c r="D714" i="1" a="1"/>
  <c r="D714" i="1" s="1"/>
  <c r="J713" i="1"/>
  <c r="D713" i="1" a="1"/>
  <c r="D713" i="1" s="1"/>
  <c r="J712" i="1"/>
  <c r="D712" i="1" a="1"/>
  <c r="D712" i="1" s="1"/>
  <c r="J711" i="1"/>
  <c r="D711" i="1" a="1"/>
  <c r="D711" i="1" s="1"/>
  <c r="J710" i="1"/>
  <c r="D710" i="1" a="1"/>
  <c r="D710" i="1" s="1"/>
  <c r="J709" i="1"/>
  <c r="D709" i="1" a="1"/>
  <c r="D709" i="1" s="1"/>
  <c r="J708" i="1"/>
  <c r="D708" i="1" a="1"/>
  <c r="D708" i="1" s="1"/>
  <c r="J707" i="1"/>
  <c r="D707" i="1" a="1"/>
  <c r="D707" i="1" s="1"/>
  <c r="J706" i="1"/>
  <c r="D706" i="1" a="1"/>
  <c r="D706" i="1" s="1"/>
  <c r="D705" i="1" a="1"/>
  <c r="D705" i="1" s="1"/>
  <c r="D704" i="1" a="1"/>
  <c r="D704" i="1" s="1"/>
  <c r="J703" i="1"/>
  <c r="D703" i="1" a="1"/>
  <c r="D703" i="1" s="1"/>
  <c r="D702" i="1" a="1"/>
  <c r="D702" i="1" s="1"/>
  <c r="D701" i="1" a="1"/>
  <c r="D701" i="1" s="1"/>
  <c r="D700" i="1" a="1"/>
  <c r="D700" i="1" s="1"/>
  <c r="D699" i="1" a="1"/>
  <c r="D699" i="1" s="1"/>
  <c r="D698" i="1" a="1"/>
  <c r="D698" i="1" s="1"/>
  <c r="J697" i="1"/>
  <c r="D697" i="1" a="1"/>
  <c r="D697" i="1" s="1"/>
  <c r="J696" i="1"/>
  <c r="D696" i="1" a="1"/>
  <c r="D696" i="1" s="1"/>
  <c r="D695" i="1" a="1"/>
  <c r="D695" i="1" s="1"/>
  <c r="J694" i="1"/>
  <c r="D694" i="1" a="1"/>
  <c r="D694" i="1" s="1"/>
  <c r="D693" i="1" a="1"/>
  <c r="D693" i="1" s="1"/>
  <c r="J692" i="1"/>
  <c r="D692" i="1" a="1"/>
  <c r="D692" i="1" s="1"/>
  <c r="D691" i="1" a="1"/>
  <c r="D691" i="1" s="1"/>
  <c r="D690" i="1" a="1"/>
  <c r="D690" i="1" s="1"/>
  <c r="D689" i="1" a="1"/>
  <c r="D689" i="1" s="1"/>
  <c r="D688" i="1" a="1"/>
  <c r="D688" i="1" s="1"/>
  <c r="D687" i="1" a="1"/>
  <c r="D687" i="1" s="1"/>
  <c r="D686" i="1" a="1"/>
  <c r="D686" i="1" s="1"/>
  <c r="D685" i="1" a="1"/>
  <c r="D685" i="1" s="1"/>
  <c r="D684" i="1" a="1"/>
  <c r="D684" i="1" s="1"/>
  <c r="D683" i="1" a="1"/>
  <c r="D683" i="1" s="1"/>
  <c r="D682" i="1" a="1"/>
  <c r="D682" i="1" s="1"/>
  <c r="J681" i="1"/>
  <c r="D681" i="1" a="1"/>
  <c r="D681" i="1" s="1"/>
  <c r="D680" i="1" a="1"/>
  <c r="D680" i="1" s="1"/>
  <c r="D679" i="1" a="1"/>
  <c r="D679" i="1" s="1"/>
  <c r="D678" i="1" a="1"/>
  <c r="D678" i="1" s="1"/>
  <c r="D677" i="1" a="1"/>
  <c r="D677" i="1" s="1"/>
  <c r="D676" i="1" a="1"/>
  <c r="D676" i="1" s="1"/>
  <c r="J675" i="1"/>
  <c r="D675" i="1" a="1"/>
  <c r="D675" i="1" s="1"/>
  <c r="J674" i="1"/>
  <c r="D674" i="1" a="1"/>
  <c r="D674" i="1" s="1"/>
  <c r="J673" i="1"/>
  <c r="D673" i="1" a="1"/>
  <c r="D673" i="1" s="1"/>
  <c r="J672" i="1"/>
  <c r="D672" i="1" a="1"/>
  <c r="D672" i="1" s="1"/>
  <c r="J671" i="1"/>
  <c r="D671" i="1" a="1"/>
  <c r="D671" i="1" s="1"/>
  <c r="J670" i="1"/>
  <c r="D670" i="1" a="1"/>
  <c r="D670" i="1" s="1"/>
  <c r="J669" i="1"/>
  <c r="D669" i="1" a="1"/>
  <c r="D669" i="1" s="1"/>
  <c r="J668" i="1"/>
  <c r="D668" i="1" a="1"/>
  <c r="D668" i="1" s="1"/>
  <c r="J667" i="1"/>
  <c r="D667" i="1" a="1"/>
  <c r="D667" i="1" s="1"/>
  <c r="D666" i="1" a="1"/>
  <c r="D666" i="1" s="1"/>
  <c r="J665" i="1"/>
  <c r="D665" i="1" a="1"/>
  <c r="D665" i="1" s="1"/>
  <c r="J664" i="1"/>
  <c r="D664" i="1" a="1"/>
  <c r="D664" i="1" s="1"/>
  <c r="J663" i="1"/>
  <c r="D663" i="1" a="1"/>
  <c r="D663" i="1" s="1"/>
  <c r="J662" i="1"/>
  <c r="D662" i="1" a="1"/>
  <c r="D662" i="1" s="1"/>
  <c r="J661" i="1"/>
  <c r="D661" i="1" a="1"/>
  <c r="D661" i="1" s="1"/>
  <c r="J660" i="1"/>
  <c r="D660" i="1" a="1"/>
  <c r="D660" i="1" s="1"/>
  <c r="J659" i="1"/>
  <c r="D659" i="1" a="1"/>
  <c r="D659" i="1" s="1"/>
  <c r="J658" i="1"/>
  <c r="D658" i="1" a="1"/>
  <c r="D658" i="1" s="1"/>
  <c r="J657" i="1"/>
  <c r="D657" i="1" a="1"/>
  <c r="D657" i="1" s="1"/>
  <c r="J656" i="1"/>
  <c r="D656" i="1" a="1"/>
  <c r="D656" i="1" s="1"/>
  <c r="J655" i="1"/>
  <c r="D655" i="1" a="1"/>
  <c r="D655" i="1" s="1"/>
  <c r="J654" i="1"/>
  <c r="D654" i="1" a="1"/>
  <c r="D654" i="1" s="1"/>
  <c r="J653" i="1"/>
  <c r="D653" i="1" a="1"/>
  <c r="D653" i="1" s="1"/>
  <c r="J652" i="1"/>
  <c r="D652" i="1" a="1"/>
  <c r="D652" i="1" s="1"/>
  <c r="J651" i="1"/>
  <c r="D651" i="1" a="1"/>
  <c r="D651" i="1" s="1"/>
  <c r="J650" i="1"/>
  <c r="D650" i="1" a="1"/>
  <c r="D650" i="1" s="1"/>
  <c r="J649" i="1"/>
  <c r="D649" i="1" a="1"/>
  <c r="D649" i="1" s="1"/>
  <c r="J648" i="1"/>
  <c r="D648" i="1" a="1"/>
  <c r="D648" i="1" s="1"/>
  <c r="J647" i="1"/>
  <c r="D647" i="1" a="1"/>
  <c r="D647" i="1" s="1"/>
  <c r="J646" i="1"/>
  <c r="D646" i="1" a="1"/>
  <c r="D646" i="1" s="1"/>
  <c r="J645" i="1"/>
  <c r="D645" i="1" a="1"/>
  <c r="D645" i="1" s="1"/>
  <c r="J644" i="1"/>
  <c r="D644" i="1" a="1"/>
  <c r="D644" i="1" s="1"/>
  <c r="J643" i="1"/>
  <c r="D643" i="1" a="1"/>
  <c r="D643" i="1" s="1"/>
  <c r="J642" i="1"/>
  <c r="D642" i="1" a="1"/>
  <c r="D642" i="1" s="1"/>
  <c r="J641" i="1"/>
  <c r="D641" i="1" a="1"/>
  <c r="D641" i="1" s="1"/>
  <c r="J640" i="1"/>
  <c r="D640" i="1" a="1"/>
  <c r="D640" i="1" s="1"/>
  <c r="J639" i="1"/>
  <c r="D639" i="1" a="1"/>
  <c r="D639" i="1" s="1"/>
  <c r="J638" i="1"/>
  <c r="D638" i="1" a="1"/>
  <c r="D638" i="1" s="1"/>
  <c r="J637" i="1"/>
  <c r="D637" i="1" a="1"/>
  <c r="D637" i="1" s="1"/>
  <c r="J636" i="1"/>
  <c r="D636" i="1" a="1"/>
  <c r="D636" i="1" s="1"/>
  <c r="J635" i="1"/>
  <c r="D635" i="1" a="1"/>
  <c r="D635" i="1" s="1"/>
  <c r="J634" i="1"/>
  <c r="D634" i="1" a="1"/>
  <c r="D634" i="1" s="1"/>
  <c r="D633" i="1" a="1"/>
  <c r="D633" i="1" s="1"/>
  <c r="J632" i="1"/>
  <c r="D632" i="1" a="1"/>
  <c r="D632" i="1" s="1"/>
  <c r="J631" i="1"/>
  <c r="D631" i="1" a="1"/>
  <c r="D631" i="1" s="1"/>
  <c r="J630" i="1"/>
  <c r="D630" i="1" a="1"/>
  <c r="D630" i="1" s="1"/>
  <c r="J629" i="1"/>
  <c r="D629" i="1" a="1"/>
  <c r="D629" i="1" s="1"/>
  <c r="J628" i="1"/>
  <c r="D628" i="1" a="1"/>
  <c r="D628" i="1" s="1"/>
  <c r="J627" i="1"/>
  <c r="D627" i="1" a="1"/>
  <c r="D627" i="1" s="1"/>
  <c r="J626" i="1"/>
  <c r="D626" i="1" a="1"/>
  <c r="D626" i="1" s="1"/>
  <c r="J625" i="1"/>
  <c r="D625" i="1" a="1"/>
  <c r="D625" i="1" s="1"/>
  <c r="J624" i="1"/>
  <c r="D624" i="1" a="1"/>
  <c r="D624" i="1" s="1"/>
  <c r="J623" i="1"/>
  <c r="D623" i="1" a="1"/>
  <c r="D623" i="1" s="1"/>
  <c r="J622" i="1"/>
  <c r="D622" i="1" a="1"/>
  <c r="D622" i="1" s="1"/>
  <c r="D621" i="1" a="1"/>
  <c r="D621" i="1" s="1"/>
  <c r="J620" i="1"/>
  <c r="D620" i="1" a="1"/>
  <c r="D620" i="1" s="1"/>
  <c r="J619" i="1"/>
  <c r="D619" i="1" a="1"/>
  <c r="D619" i="1" s="1"/>
  <c r="J618" i="1"/>
  <c r="D618" i="1" a="1"/>
  <c r="D618" i="1" s="1"/>
  <c r="J617" i="1"/>
  <c r="D617" i="1" a="1"/>
  <c r="D617" i="1" s="1"/>
  <c r="J616" i="1"/>
  <c r="D616" i="1" a="1"/>
  <c r="D616" i="1" s="1"/>
  <c r="J615" i="1"/>
  <c r="D615" i="1" a="1"/>
  <c r="D615" i="1" s="1"/>
  <c r="J614" i="1"/>
  <c r="D614" i="1" a="1"/>
  <c r="D614" i="1" s="1"/>
  <c r="D613" i="1" a="1"/>
  <c r="D613" i="1" s="1"/>
  <c r="J612" i="1"/>
  <c r="D612" i="1" a="1"/>
  <c r="D612" i="1" s="1"/>
  <c r="D611" i="1" a="1"/>
  <c r="D611" i="1" s="1"/>
  <c r="D610" i="1" a="1"/>
  <c r="D610" i="1" s="1"/>
  <c r="D609" i="1" a="1"/>
  <c r="D609" i="1" s="1"/>
  <c r="J608" i="1"/>
  <c r="D608" i="1" a="1"/>
  <c r="D608" i="1" s="1"/>
  <c r="J607" i="1"/>
  <c r="D607" i="1" a="1"/>
  <c r="D607" i="1" s="1"/>
  <c r="J606" i="1"/>
  <c r="F606" i="1"/>
  <c r="F607" i="1" s="1"/>
  <c r="F721" i="1" s="1"/>
  <c r="D606" i="1" a="1"/>
  <c r="D606" i="1" s="1"/>
  <c r="J605" i="1"/>
  <c r="D605" i="1" a="1"/>
  <c r="D605" i="1" s="1"/>
  <c r="J604" i="1"/>
  <c r="D604" i="1" a="1"/>
  <c r="D604" i="1" s="1"/>
  <c r="J603" i="1"/>
  <c r="D603" i="1" a="1"/>
  <c r="D603" i="1" s="1"/>
  <c r="L602" i="1"/>
  <c r="D602" i="1" a="1"/>
  <c r="D602" i="1" s="1"/>
  <c r="J601" i="1"/>
  <c r="D601" i="1" a="1"/>
  <c r="D601" i="1" s="1"/>
  <c r="D600" i="1" a="1"/>
  <c r="D600" i="1" s="1"/>
  <c r="D599" i="1" a="1"/>
  <c r="D599" i="1" s="1"/>
  <c r="D598" i="1" a="1"/>
  <c r="D598" i="1" s="1"/>
  <c r="D597" i="1" a="1"/>
  <c r="D597" i="1" s="1"/>
  <c r="J596" i="1"/>
  <c r="D596" i="1" a="1"/>
  <c r="D596" i="1" s="1"/>
  <c r="D595" i="1" a="1"/>
  <c r="D595" i="1" s="1"/>
  <c r="D594" i="1" a="1"/>
  <c r="D594" i="1" s="1"/>
  <c r="J593" i="1"/>
  <c r="D593" i="1" a="1"/>
  <c r="D593" i="1" s="1"/>
  <c r="J592" i="1"/>
  <c r="D592" i="1" a="1"/>
  <c r="D592" i="1" s="1"/>
  <c r="J591" i="1"/>
  <c r="D591" i="1" a="1"/>
  <c r="D591" i="1" s="1"/>
  <c r="J590" i="1"/>
  <c r="D590" i="1" a="1"/>
  <c r="D590" i="1" s="1"/>
  <c r="D589" i="1" a="1"/>
  <c r="D589" i="1" s="1"/>
  <c r="J588" i="1"/>
  <c r="D588" i="1" a="1"/>
  <c r="D588" i="1" s="1"/>
  <c r="D587" i="1" a="1"/>
  <c r="D587" i="1" s="1"/>
  <c r="D586" i="1" a="1"/>
  <c r="D586" i="1" s="1"/>
  <c r="J585" i="1"/>
  <c r="D585" i="1" a="1"/>
  <c r="D585" i="1" s="1"/>
  <c r="D584" i="1" a="1"/>
  <c r="D584" i="1" s="1"/>
  <c r="D583" i="1" a="1"/>
  <c r="D583" i="1" s="1"/>
  <c r="D582" i="1" a="1"/>
  <c r="D582" i="1" s="1"/>
  <c r="D581" i="1" a="1"/>
  <c r="D581" i="1" s="1"/>
  <c r="D580" i="1" a="1"/>
  <c r="D580" i="1" s="1"/>
  <c r="D579" i="1" a="1"/>
  <c r="D579" i="1" s="1"/>
  <c r="D578" i="1" a="1"/>
  <c r="D578" i="1" s="1"/>
  <c r="D577" i="1" a="1"/>
  <c r="D577" i="1" s="1"/>
  <c r="D576" i="1" a="1"/>
  <c r="D576" i="1" s="1"/>
  <c r="D575" i="1" a="1"/>
  <c r="D575" i="1" s="1"/>
  <c r="D574" i="1" a="1"/>
  <c r="D574" i="1" s="1"/>
  <c r="D573" i="1" a="1"/>
  <c r="D573" i="1" s="1"/>
  <c r="D572" i="1" a="1"/>
  <c r="D572" i="1" s="1"/>
  <c r="D571" i="1" a="1"/>
  <c r="D571" i="1" s="1"/>
  <c r="D570" i="1" a="1"/>
  <c r="D570" i="1" s="1"/>
  <c r="D569" i="1" a="1"/>
  <c r="D569" i="1" s="1"/>
  <c r="D568" i="1" a="1"/>
  <c r="D568" i="1" s="1"/>
  <c r="D567" i="1" a="1"/>
  <c r="D567" i="1" s="1"/>
  <c r="D566" i="1" a="1"/>
  <c r="D566" i="1" s="1"/>
  <c r="D565" i="1" a="1"/>
  <c r="D565" i="1" s="1"/>
  <c r="D564" i="1" a="1"/>
  <c r="D564" i="1" s="1"/>
  <c r="D563" i="1" a="1"/>
  <c r="D563" i="1" s="1"/>
  <c r="D562" i="1" a="1"/>
  <c r="D562" i="1" s="1"/>
  <c r="L561" i="1"/>
  <c r="D561" i="1" a="1"/>
  <c r="D561" i="1" s="1"/>
  <c r="D560" i="1" a="1"/>
  <c r="D560" i="1" s="1"/>
  <c r="D559" i="1" a="1"/>
  <c r="D559" i="1" s="1"/>
  <c r="D558" i="1" a="1"/>
  <c r="D558" i="1" s="1"/>
  <c r="D557" i="1" a="1"/>
  <c r="D557" i="1" s="1"/>
  <c r="D556" i="1" a="1"/>
  <c r="D556" i="1" s="1"/>
  <c r="D555" i="1" a="1"/>
  <c r="D555" i="1" s="1"/>
  <c r="D554" i="1" a="1"/>
  <c r="D554" i="1" s="1"/>
  <c r="D553" i="1" a="1"/>
  <c r="D553" i="1" s="1"/>
  <c r="D552" i="1" a="1"/>
  <c r="D552" i="1" s="1"/>
  <c r="D551" i="1" a="1"/>
  <c r="D551" i="1" s="1"/>
  <c r="D550" i="1" a="1"/>
  <c r="D550" i="1" s="1"/>
  <c r="D549" i="1" a="1"/>
  <c r="D549" i="1" s="1"/>
  <c r="D548" i="1" a="1"/>
  <c r="D548" i="1" s="1"/>
  <c r="D547" i="1" a="1"/>
  <c r="D547" i="1" s="1"/>
  <c r="D546" i="1" a="1"/>
  <c r="D546" i="1" s="1"/>
  <c r="D545" i="1" a="1"/>
  <c r="D545" i="1" s="1"/>
  <c r="D544" i="1" a="1"/>
  <c r="D544" i="1" s="1"/>
  <c r="D543" i="1" a="1"/>
  <c r="D543" i="1" s="1"/>
  <c r="D542" i="1" a="1"/>
  <c r="D542" i="1" s="1"/>
  <c r="D541" i="1" a="1"/>
  <c r="D541" i="1" s="1"/>
  <c r="D540" i="1" a="1"/>
  <c r="D540" i="1" s="1"/>
  <c r="D539" i="1" a="1"/>
  <c r="D539" i="1" s="1"/>
  <c r="D538" i="1" a="1"/>
  <c r="D538" i="1" s="1"/>
  <c r="D537" i="1" a="1"/>
  <c r="D537" i="1" s="1"/>
  <c r="D536" i="1" a="1"/>
  <c r="D536" i="1" s="1"/>
  <c r="D535" i="1" a="1"/>
  <c r="D535" i="1" s="1"/>
  <c r="D534" i="1" a="1"/>
  <c r="D534" i="1" s="1"/>
  <c r="D533" i="1" a="1"/>
  <c r="D533" i="1" s="1"/>
  <c r="D532" i="1" a="1"/>
  <c r="D532" i="1" s="1"/>
  <c r="D531" i="1" a="1"/>
  <c r="D531" i="1" s="1"/>
  <c r="D530" i="1" a="1"/>
  <c r="D530" i="1" s="1"/>
  <c r="D529" i="1" a="1"/>
  <c r="D529" i="1" s="1"/>
  <c r="D528" i="1" a="1"/>
  <c r="D528" i="1" s="1"/>
  <c r="D527" i="1" a="1"/>
  <c r="D527" i="1" s="1"/>
  <c r="D526" i="1" a="1"/>
  <c r="D526" i="1" s="1"/>
  <c r="D525" i="1" a="1"/>
  <c r="D525" i="1" s="1"/>
  <c r="D524" i="1" a="1"/>
  <c r="D524" i="1" s="1"/>
  <c r="L523" i="1"/>
  <c r="D523" i="1" a="1"/>
  <c r="D523" i="1" s="1"/>
  <c r="D522" i="1" a="1"/>
  <c r="D522" i="1" s="1"/>
  <c r="D521" i="1" a="1"/>
  <c r="D521" i="1" s="1"/>
  <c r="D520" i="1" a="1"/>
  <c r="D520" i="1" s="1"/>
  <c r="L519" i="1"/>
  <c r="D519" i="1" a="1"/>
  <c r="D519" i="1" s="1"/>
  <c r="D518" i="1" a="1"/>
  <c r="D518" i="1" s="1"/>
  <c r="D517" i="1" a="1"/>
  <c r="D517" i="1" s="1"/>
  <c r="D516" i="1" a="1"/>
  <c r="D516" i="1" s="1"/>
  <c r="D515" i="1" a="1"/>
  <c r="D515" i="1" s="1"/>
  <c r="D514" i="1" a="1"/>
  <c r="D514" i="1" s="1"/>
  <c r="D513" i="1" a="1"/>
  <c r="D513" i="1" s="1"/>
  <c r="D512" i="1" a="1"/>
  <c r="D512" i="1" s="1"/>
  <c r="L511" i="1"/>
  <c r="D511" i="1" a="1"/>
  <c r="D511" i="1" s="1"/>
  <c r="L510" i="1"/>
  <c r="D510" i="1" a="1"/>
  <c r="D510" i="1" s="1"/>
  <c r="L509" i="1"/>
  <c r="D509" i="1" a="1"/>
  <c r="D509" i="1" s="1"/>
  <c r="L508" i="1"/>
  <c r="D508" i="1" a="1"/>
  <c r="D508" i="1" s="1"/>
  <c r="L507" i="1"/>
  <c r="D507" i="1" a="1"/>
  <c r="D507" i="1" s="1"/>
  <c r="D506" i="1" a="1"/>
  <c r="D506" i="1" s="1"/>
  <c r="L505" i="1"/>
  <c r="D505" i="1" a="1"/>
  <c r="D505" i="1" s="1"/>
  <c r="L504" i="1"/>
  <c r="D504" i="1" a="1"/>
  <c r="D504" i="1" s="1"/>
  <c r="D503" i="1" a="1"/>
  <c r="D503" i="1" s="1"/>
  <c r="L502" i="1"/>
  <c r="D502" i="1" a="1"/>
  <c r="D502" i="1" s="1"/>
  <c r="L501" i="1"/>
  <c r="D501" i="1" a="1"/>
  <c r="D501" i="1" s="1"/>
  <c r="L500" i="1"/>
  <c r="D500" i="1" a="1"/>
  <c r="D500" i="1" s="1"/>
  <c r="L499" i="1"/>
  <c r="D499" i="1" a="1"/>
  <c r="D499" i="1" s="1"/>
  <c r="L498" i="1"/>
  <c r="D498" i="1" a="1"/>
  <c r="D498" i="1" s="1"/>
  <c r="D497" i="1" a="1"/>
  <c r="D497" i="1" s="1"/>
  <c r="L496" i="1"/>
  <c r="D496" i="1" a="1"/>
  <c r="D496" i="1" s="1"/>
  <c r="D495" i="1" a="1"/>
  <c r="D495" i="1" s="1"/>
  <c r="L494" i="1"/>
  <c r="D494" i="1" a="1"/>
  <c r="D494" i="1" s="1"/>
  <c r="D493" i="1" a="1"/>
  <c r="D493" i="1" s="1"/>
  <c r="L492" i="1"/>
  <c r="D492" i="1" a="1"/>
  <c r="D492" i="1" s="1"/>
  <c r="L491" i="1"/>
  <c r="D491" i="1" a="1"/>
  <c r="D491" i="1" s="1"/>
  <c r="L490" i="1"/>
  <c r="D490" i="1" a="1"/>
  <c r="D490" i="1" s="1"/>
  <c r="L489" i="1"/>
  <c r="D489" i="1" a="1"/>
  <c r="D489" i="1" s="1"/>
  <c r="L488" i="1"/>
  <c r="D488" i="1" a="1"/>
  <c r="D488" i="1" s="1"/>
  <c r="L487" i="1"/>
  <c r="D487" i="1" a="1"/>
  <c r="D487" i="1" s="1"/>
  <c r="L486" i="1"/>
  <c r="D486" i="1" a="1"/>
  <c r="D486" i="1" s="1"/>
  <c r="L485" i="1"/>
  <c r="D485" i="1" a="1"/>
  <c r="D485" i="1" s="1"/>
  <c r="L484" i="1"/>
  <c r="D484" i="1" a="1"/>
  <c r="D484" i="1" s="1"/>
  <c r="L483" i="1"/>
  <c r="D483" i="1" a="1"/>
  <c r="D483" i="1" s="1"/>
  <c r="L482" i="1"/>
  <c r="D482" i="1" a="1"/>
  <c r="D482" i="1" s="1"/>
  <c r="L481" i="1"/>
  <c r="D481" i="1" a="1"/>
  <c r="D481" i="1" s="1"/>
  <c r="D480" i="1" a="1"/>
  <c r="D480" i="1" s="1"/>
  <c r="L479" i="1"/>
  <c r="D479" i="1" a="1"/>
  <c r="D479" i="1" s="1"/>
  <c r="L478" i="1"/>
  <c r="D478" i="1" a="1"/>
  <c r="D478" i="1" s="1"/>
  <c r="D477" i="1" a="1"/>
  <c r="D477" i="1" s="1"/>
  <c r="L476" i="1"/>
  <c r="D476" i="1" a="1"/>
  <c r="D476" i="1" s="1"/>
  <c r="L475" i="1"/>
  <c r="D475" i="1" a="1"/>
  <c r="D475" i="1" s="1"/>
  <c r="L474" i="1"/>
  <c r="D474" i="1" a="1"/>
  <c r="D474" i="1" s="1"/>
  <c r="L473" i="1"/>
  <c r="D473" i="1" a="1"/>
  <c r="D473" i="1" s="1"/>
  <c r="L472" i="1"/>
  <c r="D472" i="1" a="1"/>
  <c r="D472" i="1" s="1"/>
  <c r="L471" i="1"/>
  <c r="D471" i="1" a="1"/>
  <c r="D471" i="1" s="1"/>
  <c r="L470" i="1"/>
  <c r="D470" i="1" a="1"/>
  <c r="D470" i="1" s="1"/>
  <c r="L469" i="1"/>
  <c r="D469" i="1" a="1"/>
  <c r="D469" i="1" s="1"/>
  <c r="L468" i="1"/>
  <c r="D468" i="1" a="1"/>
  <c r="D468" i="1" s="1"/>
  <c r="L467" i="1"/>
  <c r="D467" i="1" a="1"/>
  <c r="D467" i="1" s="1"/>
  <c r="L466" i="1"/>
  <c r="D466" i="1" a="1"/>
  <c r="D466" i="1" s="1"/>
  <c r="L465" i="1"/>
  <c r="F465" i="1"/>
  <c r="D465" i="1" a="1"/>
  <c r="D465" i="1" s="1"/>
  <c r="L464" i="1"/>
  <c r="D464" i="1" a="1"/>
  <c r="D464" i="1" s="1"/>
  <c r="L463" i="1"/>
  <c r="D463" i="1" a="1"/>
  <c r="D463" i="1" s="1"/>
  <c r="D462" i="1" a="1"/>
  <c r="D462" i="1" s="1"/>
  <c r="L461" i="1"/>
  <c r="D461" i="1" a="1"/>
  <c r="D461" i="1" s="1"/>
  <c r="L460" i="1"/>
  <c r="D460" i="1" a="1"/>
  <c r="D460" i="1" s="1"/>
  <c r="L459" i="1"/>
  <c r="D459" i="1" a="1"/>
  <c r="D459" i="1" s="1"/>
  <c r="L458" i="1"/>
  <c r="D458" i="1" a="1"/>
  <c r="D458" i="1" s="1"/>
  <c r="L457" i="1"/>
  <c r="D457" i="1" a="1"/>
  <c r="D457" i="1" s="1"/>
  <c r="L456" i="1"/>
  <c r="D456" i="1" a="1"/>
  <c r="D456" i="1" s="1"/>
  <c r="L455" i="1"/>
  <c r="D455" i="1" a="1"/>
  <c r="D455" i="1" s="1"/>
  <c r="L454" i="1"/>
  <c r="D454" i="1" a="1"/>
  <c r="D454" i="1" s="1"/>
  <c r="L453" i="1"/>
  <c r="D453" i="1" a="1"/>
  <c r="D453" i="1" s="1"/>
  <c r="L452" i="1"/>
  <c r="D452" i="1" a="1"/>
  <c r="D452" i="1" s="1"/>
  <c r="L451" i="1"/>
  <c r="D451" i="1" a="1"/>
  <c r="D451" i="1" s="1"/>
  <c r="L450" i="1"/>
  <c r="D450" i="1" a="1"/>
  <c r="D450" i="1" s="1"/>
  <c r="L449" i="1"/>
  <c r="D449" i="1" a="1"/>
  <c r="D449" i="1" s="1"/>
  <c r="L448" i="1"/>
  <c r="D448" i="1" a="1"/>
  <c r="D448" i="1" s="1"/>
  <c r="L447" i="1"/>
  <c r="D447" i="1" a="1"/>
  <c r="D447" i="1" s="1"/>
  <c r="L446" i="1"/>
  <c r="D446" i="1" a="1"/>
  <c r="D446" i="1" s="1"/>
  <c r="L445" i="1"/>
  <c r="D445" i="1" a="1"/>
  <c r="D445" i="1" s="1"/>
  <c r="D444" i="1" a="1"/>
  <c r="D444" i="1" s="1"/>
  <c r="L443" i="1"/>
  <c r="D443" i="1" a="1"/>
  <c r="D443" i="1" s="1"/>
  <c r="L442" i="1"/>
  <c r="D442" i="1" a="1"/>
  <c r="D442" i="1" s="1"/>
  <c r="L441" i="1"/>
  <c r="D441" i="1" a="1"/>
  <c r="D441" i="1" s="1"/>
  <c r="L440" i="1"/>
  <c r="D440" i="1" a="1"/>
  <c r="D440" i="1" s="1"/>
  <c r="L439" i="1"/>
  <c r="D439" i="1" a="1"/>
  <c r="D439" i="1" s="1"/>
  <c r="L438" i="1"/>
  <c r="D438" i="1" a="1"/>
  <c r="D438" i="1" s="1"/>
  <c r="L437" i="1"/>
  <c r="D437" i="1" a="1"/>
  <c r="D437" i="1" s="1"/>
  <c r="L436" i="1"/>
  <c r="D436" i="1" a="1"/>
  <c r="D436" i="1" s="1"/>
  <c r="L435" i="1"/>
  <c r="D435" i="1" a="1"/>
  <c r="D435" i="1" s="1"/>
  <c r="L434" i="1"/>
  <c r="D434" i="1" a="1"/>
  <c r="D434" i="1" s="1"/>
  <c r="L433" i="1"/>
  <c r="D433" i="1" a="1"/>
  <c r="D433" i="1" s="1"/>
  <c r="L432" i="1"/>
  <c r="D432" i="1" a="1"/>
  <c r="D432" i="1" s="1"/>
  <c r="L431" i="1"/>
  <c r="D431" i="1" a="1"/>
  <c r="D431" i="1" s="1"/>
  <c r="L430" i="1"/>
  <c r="D430" i="1" a="1"/>
  <c r="D430" i="1" s="1"/>
  <c r="L429" i="1"/>
  <c r="D429" i="1" a="1"/>
  <c r="D429" i="1" s="1"/>
  <c r="D428" i="1" a="1"/>
  <c r="D428" i="1" s="1"/>
  <c r="D427" i="1" a="1"/>
  <c r="D427" i="1" s="1"/>
  <c r="D426" i="1" a="1"/>
  <c r="D426" i="1" s="1"/>
  <c r="D425" i="1" a="1"/>
  <c r="D425" i="1" s="1"/>
  <c r="D424" i="1" a="1"/>
  <c r="D424" i="1" s="1"/>
  <c r="L423" i="1"/>
  <c r="D423" i="1" a="1"/>
  <c r="D423" i="1" s="1"/>
  <c r="D422" i="1" a="1"/>
  <c r="D422" i="1" s="1"/>
  <c r="D421" i="1" a="1"/>
  <c r="D421" i="1" s="1"/>
  <c r="D420" i="1" a="1"/>
  <c r="D420" i="1" s="1"/>
  <c r="D419" i="1" a="1"/>
  <c r="D419" i="1" s="1"/>
  <c r="D418" i="1" a="1"/>
  <c r="D418" i="1" s="1"/>
  <c r="D417" i="1" a="1"/>
  <c r="D417" i="1" s="1"/>
  <c r="D416" i="1" a="1"/>
  <c r="D416" i="1" s="1"/>
  <c r="D415" i="1" a="1"/>
  <c r="D415" i="1" s="1"/>
  <c r="D414" i="1" a="1"/>
  <c r="D414" i="1" s="1"/>
  <c r="D413" i="1" a="1"/>
  <c r="D413" i="1" s="1"/>
  <c r="D412" i="1" a="1"/>
  <c r="D412" i="1" s="1"/>
  <c r="D411" i="1" a="1"/>
  <c r="D411" i="1" s="1"/>
  <c r="D410" i="1" a="1"/>
  <c r="D410" i="1" s="1"/>
  <c r="D409" i="1" a="1"/>
  <c r="D409" i="1" s="1"/>
  <c r="D408" i="1" a="1"/>
  <c r="D408" i="1" s="1"/>
  <c r="D407" i="1" a="1"/>
  <c r="D407" i="1" s="1"/>
  <c r="D406" i="1" a="1"/>
  <c r="D406" i="1" s="1"/>
  <c r="D405" i="1" a="1"/>
  <c r="D405" i="1" s="1"/>
  <c r="D404" i="1" a="1"/>
  <c r="D404" i="1" s="1"/>
  <c r="D403" i="1" a="1"/>
  <c r="D403" i="1" s="1"/>
  <c r="D402" i="1" a="1"/>
  <c r="D402" i="1" s="1"/>
  <c r="D401" i="1" a="1"/>
  <c r="D401" i="1" s="1"/>
  <c r="D400" i="1" a="1"/>
  <c r="D400" i="1" s="1"/>
  <c r="D399" i="1" a="1"/>
  <c r="D399" i="1" s="1"/>
  <c r="D398" i="1" a="1"/>
  <c r="D398" i="1" s="1"/>
  <c r="D397" i="1" a="1"/>
  <c r="D397" i="1" s="1"/>
  <c r="L396" i="1"/>
  <c r="D396" i="1" a="1"/>
  <c r="D396" i="1" s="1"/>
  <c r="D395" i="1" a="1"/>
  <c r="D395" i="1" s="1"/>
  <c r="D394" i="1" a="1"/>
  <c r="D394" i="1" s="1"/>
  <c r="D393" i="1" a="1"/>
  <c r="D393" i="1" s="1"/>
  <c r="D392" i="1" a="1"/>
  <c r="D392" i="1" s="1"/>
  <c r="D391" i="1" a="1"/>
  <c r="D391" i="1" s="1"/>
  <c r="D390" i="1" a="1"/>
  <c r="D390" i="1" s="1"/>
  <c r="D389" i="1" a="1"/>
  <c r="D389" i="1" s="1"/>
  <c r="D388" i="1" a="1"/>
  <c r="D388" i="1" s="1"/>
  <c r="D387" i="1" a="1"/>
  <c r="D387" i="1" s="1"/>
  <c r="L386" i="1"/>
  <c r="D386" i="1" a="1"/>
  <c r="D386" i="1" s="1"/>
  <c r="D385" i="1" a="1"/>
  <c r="D385" i="1" s="1"/>
  <c r="D384" i="1" a="1"/>
  <c r="D384" i="1" s="1"/>
  <c r="D383" i="1" a="1"/>
  <c r="D383" i="1" s="1"/>
  <c r="D382" i="1" a="1"/>
  <c r="D382" i="1" s="1"/>
  <c r="L381" i="1"/>
  <c r="D381" i="1" a="1"/>
  <c r="D381" i="1" s="1"/>
  <c r="D380" i="1" a="1"/>
  <c r="D380" i="1" s="1"/>
  <c r="L379" i="1"/>
  <c r="D379" i="1" a="1"/>
  <c r="D379" i="1" s="1"/>
  <c r="D378" i="1" a="1"/>
  <c r="D378" i="1" s="1"/>
  <c r="D377" i="1" a="1"/>
  <c r="D377" i="1" s="1"/>
  <c r="D376" i="1" a="1"/>
  <c r="D376" i="1" s="1"/>
  <c r="D375" i="1" a="1"/>
  <c r="D375" i="1" s="1"/>
  <c r="D374" i="1" a="1"/>
  <c r="D374" i="1" s="1"/>
  <c r="D373" i="1" a="1"/>
  <c r="D373" i="1" s="1"/>
  <c r="D372" i="1" a="1"/>
  <c r="D372" i="1" s="1"/>
  <c r="D371" i="1" a="1"/>
  <c r="D371" i="1" s="1"/>
  <c r="D370" i="1" a="1"/>
  <c r="D370" i="1" s="1"/>
  <c r="D369" i="1" a="1"/>
  <c r="D369" i="1" s="1"/>
  <c r="D368" i="1" a="1"/>
  <c r="D368" i="1" s="1"/>
  <c r="D367" i="1" a="1"/>
  <c r="D367" i="1" s="1"/>
  <c r="D366" i="1" a="1"/>
  <c r="D366" i="1" s="1"/>
  <c r="D365" i="1" a="1"/>
  <c r="D365" i="1" s="1"/>
  <c r="D364" i="1" a="1"/>
  <c r="D364" i="1" s="1"/>
  <c r="D363" i="1" a="1"/>
  <c r="D363" i="1" s="1"/>
  <c r="D362" i="1" a="1"/>
  <c r="D362" i="1" s="1"/>
  <c r="L361" i="1"/>
  <c r="D361" i="1" a="1"/>
  <c r="D361" i="1" s="1"/>
  <c r="D360" i="1" a="1"/>
  <c r="D360" i="1" s="1"/>
  <c r="D359" i="1" a="1"/>
  <c r="D359" i="1" s="1"/>
  <c r="D358" i="1" a="1"/>
  <c r="D358" i="1" s="1"/>
  <c r="D357" i="1" a="1"/>
  <c r="D357" i="1" s="1"/>
  <c r="D356" i="1" a="1"/>
  <c r="D356" i="1" s="1"/>
  <c r="D355" i="1" a="1"/>
  <c r="D355" i="1" s="1"/>
  <c r="D354" i="1" a="1"/>
  <c r="D354" i="1" s="1"/>
  <c r="D353" i="1" a="1"/>
  <c r="D353" i="1" s="1"/>
  <c r="D352" i="1" a="1"/>
  <c r="D352" i="1" s="1"/>
  <c r="D351" i="1" a="1"/>
  <c r="D351" i="1" s="1"/>
  <c r="D350" i="1" a="1"/>
  <c r="D350" i="1" s="1"/>
  <c r="D349" i="1" a="1"/>
  <c r="D349" i="1" s="1"/>
  <c r="D348" i="1" a="1"/>
  <c r="D348" i="1" s="1"/>
  <c r="D347" i="1" a="1"/>
  <c r="D347" i="1" s="1"/>
  <c r="D346" i="1" a="1"/>
  <c r="D346" i="1" s="1"/>
  <c r="D345" i="1" a="1"/>
  <c r="D345" i="1" s="1"/>
  <c r="D344" i="1" a="1"/>
  <c r="D344" i="1" s="1"/>
  <c r="D343" i="1" a="1"/>
  <c r="D343" i="1" s="1"/>
  <c r="D342" i="1" a="1"/>
  <c r="D342" i="1" s="1"/>
  <c r="D341" i="1" a="1"/>
  <c r="D341" i="1" s="1"/>
  <c r="D340" i="1" a="1"/>
  <c r="D340" i="1" s="1"/>
  <c r="D339" i="1" a="1"/>
  <c r="D339" i="1" s="1"/>
  <c r="D338" i="1" a="1"/>
  <c r="D338" i="1" s="1"/>
  <c r="D337" i="1" a="1"/>
  <c r="D337" i="1" s="1"/>
  <c r="D336" i="1" a="1"/>
  <c r="D336" i="1" s="1"/>
  <c r="D335" i="1" a="1"/>
  <c r="D335" i="1" s="1"/>
  <c r="D334" i="1" a="1"/>
  <c r="D334" i="1" s="1"/>
  <c r="D333" i="1" a="1"/>
  <c r="D333" i="1" s="1"/>
  <c r="D332" i="1" a="1"/>
  <c r="D332" i="1" s="1"/>
  <c r="D331" i="1" a="1"/>
  <c r="D331" i="1" s="1"/>
  <c r="D330" i="1" a="1"/>
  <c r="D330" i="1" s="1"/>
  <c r="D329" i="1" a="1"/>
  <c r="D329" i="1" s="1"/>
  <c r="D328" i="1" a="1"/>
  <c r="D328" i="1" s="1"/>
  <c r="D327" i="1" a="1"/>
  <c r="D327" i="1" s="1"/>
  <c r="D326" i="1" a="1"/>
  <c r="D326" i="1" s="1"/>
  <c r="D325" i="1" a="1"/>
  <c r="D325" i="1" s="1"/>
  <c r="D324" i="1" a="1"/>
  <c r="D324" i="1" s="1"/>
  <c r="D323" i="1" a="1"/>
  <c r="D323" i="1" s="1"/>
  <c r="D322" i="1" a="1"/>
  <c r="D322" i="1" s="1"/>
  <c r="D321" i="1" a="1"/>
  <c r="D321" i="1" s="1"/>
  <c r="D320" i="1" a="1"/>
  <c r="D320" i="1" s="1"/>
  <c r="D319" i="1" a="1"/>
  <c r="D319" i="1" s="1"/>
  <c r="D318" i="1" a="1"/>
  <c r="D318" i="1" s="1"/>
  <c r="D317" i="1" a="1"/>
  <c r="D317" i="1" s="1"/>
  <c r="D316" i="1" a="1"/>
  <c r="D316" i="1" s="1"/>
  <c r="D315" i="1" a="1"/>
  <c r="D315" i="1" s="1"/>
  <c r="D314" i="1" a="1"/>
  <c r="D314" i="1" s="1"/>
  <c r="D313" i="1" a="1"/>
  <c r="D313" i="1" s="1"/>
  <c r="D312" i="1" a="1"/>
  <c r="D312" i="1" s="1"/>
  <c r="D311" i="1" a="1"/>
  <c r="D311" i="1" s="1"/>
  <c r="D310" i="1" a="1"/>
  <c r="D310" i="1" s="1"/>
  <c r="D309" i="1" a="1"/>
  <c r="D309" i="1" s="1"/>
  <c r="D308" i="1" a="1"/>
  <c r="D308" i="1" s="1"/>
  <c r="D307" i="1" a="1"/>
  <c r="D307" i="1" s="1"/>
  <c r="D306" i="1" a="1"/>
  <c r="D306" i="1" s="1"/>
  <c r="D305" i="1" a="1"/>
  <c r="D305" i="1" s="1"/>
  <c r="D304" i="1" a="1"/>
  <c r="D304" i="1" s="1"/>
  <c r="D303" i="1" a="1"/>
  <c r="D303" i="1" s="1"/>
  <c r="D302" i="1" a="1"/>
  <c r="D302" i="1" s="1"/>
  <c r="D301" i="1" a="1"/>
  <c r="D301" i="1" s="1"/>
  <c r="D300" i="1" a="1"/>
  <c r="D300" i="1" s="1"/>
  <c r="D299" i="1" a="1"/>
  <c r="D299" i="1" s="1"/>
  <c r="D298" i="1" a="1"/>
  <c r="D298" i="1" s="1"/>
  <c r="D297" i="1" a="1"/>
  <c r="D297" i="1" s="1"/>
  <c r="D296" i="1" a="1"/>
  <c r="D296" i="1" s="1"/>
  <c r="D295" i="1" a="1"/>
  <c r="D295" i="1" s="1"/>
  <c r="D294" i="1" a="1"/>
  <c r="D294" i="1" s="1"/>
  <c r="D293" i="1" a="1"/>
  <c r="D293" i="1" s="1"/>
  <c r="D292" i="1" a="1"/>
  <c r="D292" i="1" s="1"/>
  <c r="D291" i="1" a="1"/>
  <c r="D291" i="1" s="1"/>
  <c r="D290" i="1" a="1"/>
  <c r="D290" i="1" s="1"/>
  <c r="D289" i="1" a="1"/>
  <c r="D289" i="1" s="1"/>
  <c r="D288" i="1" a="1"/>
  <c r="D288" i="1" s="1"/>
  <c r="D287" i="1" a="1"/>
  <c r="D287" i="1" s="1"/>
  <c r="D286" i="1" a="1"/>
  <c r="D286" i="1" s="1"/>
  <c r="D285" i="1" a="1"/>
  <c r="D285" i="1" s="1"/>
  <c r="D284" i="1" a="1"/>
  <c r="D284" i="1" s="1"/>
  <c r="D283" i="1" a="1"/>
  <c r="D283" i="1" s="1"/>
  <c r="D282" i="1" a="1"/>
  <c r="D282" i="1" s="1"/>
  <c r="D281" i="1" a="1"/>
  <c r="D281" i="1" s="1"/>
  <c r="D280" i="1" a="1"/>
  <c r="D280" i="1" s="1"/>
  <c r="D279" i="1" a="1"/>
  <c r="D279" i="1" s="1"/>
  <c r="D278" i="1" a="1"/>
  <c r="D278" i="1" s="1"/>
  <c r="D277" i="1" a="1"/>
  <c r="D277" i="1" s="1"/>
  <c r="D276" i="1" a="1"/>
  <c r="D276" i="1" s="1"/>
  <c r="D275" i="1" a="1"/>
  <c r="D275" i="1" s="1"/>
  <c r="D274" i="1" a="1"/>
  <c r="D274" i="1" s="1"/>
  <c r="D273" i="1" a="1"/>
  <c r="D273" i="1" s="1"/>
  <c r="D272" i="1" a="1"/>
  <c r="D272" i="1" s="1"/>
  <c r="D271" i="1" a="1"/>
  <c r="D271" i="1" s="1"/>
  <c r="D270" i="1" a="1"/>
  <c r="D270" i="1" s="1"/>
  <c r="D269" i="1" a="1"/>
  <c r="D269" i="1" s="1"/>
  <c r="D268" i="1" a="1"/>
  <c r="D268" i="1" s="1"/>
  <c r="D267" i="1" a="1"/>
  <c r="D267" i="1" s="1"/>
  <c r="D266" i="1" a="1"/>
  <c r="D266" i="1" s="1"/>
  <c r="D265" i="1" a="1"/>
  <c r="D265" i="1" s="1"/>
  <c r="D264" i="1" a="1"/>
  <c r="D264" i="1" s="1"/>
  <c r="D263" i="1" a="1"/>
  <c r="D263" i="1" s="1"/>
  <c r="D262" i="1" a="1"/>
  <c r="D262" i="1" s="1"/>
  <c r="D261" i="1" a="1"/>
  <c r="D261" i="1" s="1"/>
  <c r="D260" i="1" a="1"/>
  <c r="D260" i="1" s="1"/>
  <c r="D259" i="1" a="1"/>
  <c r="D259" i="1" s="1"/>
  <c r="D258" i="1" a="1"/>
  <c r="D258" i="1" s="1"/>
  <c r="D257" i="1" a="1"/>
  <c r="D257" i="1" s="1"/>
  <c r="D256" i="1" a="1"/>
  <c r="D256" i="1" s="1"/>
  <c r="D255" i="1" a="1"/>
  <c r="D255" i="1" s="1"/>
  <c r="D254" i="1" a="1"/>
  <c r="D254" i="1" s="1"/>
  <c r="D253" i="1" a="1"/>
  <c r="D253" i="1" s="1"/>
  <c r="D252" i="1" a="1"/>
  <c r="D252" i="1" s="1"/>
  <c r="D251" i="1" a="1"/>
  <c r="D251" i="1" s="1"/>
  <c r="D250" i="1" a="1"/>
  <c r="D250" i="1" s="1"/>
  <c r="D249" i="1" a="1"/>
  <c r="D249" i="1" s="1"/>
  <c r="D248" i="1" a="1"/>
  <c r="D248" i="1" s="1"/>
  <c r="D247" i="1" a="1"/>
  <c r="D247" i="1" s="1"/>
  <c r="D246" i="1" a="1"/>
  <c r="D246" i="1" s="1"/>
  <c r="D245" i="1" a="1"/>
  <c r="D245" i="1" s="1"/>
  <c r="D244" i="1" a="1"/>
  <c r="D244" i="1" s="1"/>
  <c r="D243" i="1" a="1"/>
  <c r="D243" i="1" s="1"/>
  <c r="D242" i="1" a="1"/>
  <c r="D242" i="1" s="1"/>
  <c r="D241" i="1" a="1"/>
  <c r="D241" i="1" s="1"/>
  <c r="D240" i="1" a="1"/>
  <c r="D240" i="1" s="1"/>
  <c r="D239" i="1" a="1"/>
  <c r="D239" i="1" s="1"/>
  <c r="D238" i="1" a="1"/>
  <c r="D238" i="1" s="1"/>
  <c r="D237" i="1" a="1"/>
  <c r="D237" i="1" s="1"/>
  <c r="D236" i="1" a="1"/>
  <c r="D236" i="1" s="1"/>
  <c r="D235" i="1" a="1"/>
  <c r="D235" i="1" s="1"/>
  <c r="D234" i="1" a="1"/>
  <c r="D234" i="1" s="1"/>
  <c r="D233" i="1" a="1"/>
  <c r="D233" i="1" s="1"/>
  <c r="D232" i="1" a="1"/>
  <c r="D232" i="1" s="1"/>
  <c r="D231" i="1" a="1"/>
  <c r="D231" i="1" s="1"/>
  <c r="D230" i="1" a="1"/>
  <c r="D230" i="1" s="1"/>
  <c r="D229" i="1" a="1"/>
  <c r="D229" i="1" s="1"/>
  <c r="D228" i="1" a="1"/>
  <c r="D228" i="1" s="1"/>
  <c r="D227" i="1" a="1"/>
  <c r="D227" i="1" s="1"/>
  <c r="D226" i="1" a="1"/>
  <c r="D226" i="1" s="1"/>
  <c r="D225" i="1" a="1"/>
  <c r="D225" i="1" s="1"/>
  <c r="D224" i="1" a="1"/>
  <c r="D224" i="1" s="1"/>
  <c r="D223" i="1" a="1"/>
  <c r="D223" i="1" s="1"/>
  <c r="D222" i="1" a="1"/>
  <c r="D222" i="1" s="1"/>
  <c r="D221" i="1" a="1"/>
  <c r="D221" i="1" s="1"/>
  <c r="D220" i="1" a="1"/>
  <c r="D220" i="1" s="1"/>
  <c r="D219" i="1" a="1"/>
  <c r="D219" i="1" s="1"/>
  <c r="D218" i="1" a="1"/>
  <c r="D218" i="1" s="1"/>
  <c r="D217" i="1" a="1"/>
  <c r="D217" i="1" s="1"/>
  <c r="D216" i="1" a="1"/>
  <c r="D216" i="1" s="1"/>
  <c r="D215" i="1" a="1"/>
  <c r="D215" i="1" s="1"/>
  <c r="D214" i="1" a="1"/>
  <c r="D214" i="1" s="1"/>
  <c r="D213" i="1" a="1"/>
  <c r="D213" i="1" s="1"/>
  <c r="D212" i="1" a="1"/>
  <c r="D212" i="1" s="1"/>
  <c r="D211" i="1" a="1"/>
  <c r="D211" i="1" s="1"/>
  <c r="D210" i="1" a="1"/>
  <c r="D210" i="1" s="1"/>
  <c r="D209" i="1" a="1"/>
  <c r="D209" i="1" s="1"/>
  <c r="D208" i="1" a="1"/>
  <c r="D208" i="1" s="1"/>
  <c r="D207" i="1" a="1"/>
  <c r="D207" i="1" s="1"/>
  <c r="D206" i="1" a="1"/>
  <c r="D206" i="1" s="1"/>
  <c r="D205" i="1" a="1"/>
  <c r="D205" i="1" s="1"/>
  <c r="D204" i="1" a="1"/>
  <c r="D204" i="1" s="1"/>
  <c r="D203" i="1" a="1"/>
  <c r="D203" i="1" s="1"/>
  <c r="D202" i="1" a="1"/>
  <c r="D202" i="1" s="1"/>
  <c r="D201" i="1" a="1"/>
  <c r="D201" i="1" s="1"/>
  <c r="D200" i="1" a="1"/>
  <c r="D200" i="1" s="1"/>
  <c r="D199" i="1" a="1"/>
  <c r="D199" i="1" s="1"/>
  <c r="D198" i="1" a="1"/>
  <c r="D198" i="1" s="1"/>
  <c r="D197" i="1" a="1"/>
  <c r="D197" i="1" s="1"/>
  <c r="D196" i="1" a="1"/>
  <c r="D196" i="1" s="1"/>
  <c r="D195" i="1" a="1"/>
  <c r="D195" i="1" s="1"/>
  <c r="D194" i="1" a="1"/>
  <c r="D194" i="1" s="1"/>
  <c r="D193" i="1" a="1"/>
  <c r="D193" i="1" s="1"/>
  <c r="D192" i="1" a="1"/>
  <c r="D192" i="1" s="1"/>
  <c r="D191" i="1" a="1"/>
  <c r="D191" i="1" s="1"/>
  <c r="D190" i="1" a="1"/>
  <c r="D190" i="1" s="1"/>
  <c r="D189" i="1" a="1"/>
  <c r="D189" i="1" s="1"/>
  <c r="D188" i="1" a="1"/>
  <c r="D188" i="1" s="1"/>
  <c r="D187" i="1" a="1"/>
  <c r="D187" i="1" s="1"/>
  <c r="D186" i="1" a="1"/>
  <c r="D186" i="1" s="1"/>
  <c r="D185" i="1" a="1"/>
  <c r="D185" i="1" s="1"/>
  <c r="D184" i="1" a="1"/>
  <c r="D184" i="1" s="1"/>
  <c r="D183" i="1" a="1"/>
  <c r="D183" i="1" s="1"/>
  <c r="D182" i="1" a="1"/>
  <c r="D182" i="1" s="1"/>
  <c r="D181" i="1" a="1"/>
  <c r="D181" i="1" s="1"/>
  <c r="D180" i="1" a="1"/>
  <c r="D180" i="1" s="1"/>
  <c r="D179" i="1" a="1"/>
  <c r="D179" i="1" s="1"/>
  <c r="D178" i="1" a="1"/>
  <c r="D178" i="1" s="1"/>
  <c r="D177" i="1" a="1"/>
  <c r="D177" i="1" s="1"/>
  <c r="D176" i="1" a="1"/>
  <c r="D176" i="1" s="1"/>
  <c r="D175" i="1" a="1"/>
  <c r="D175" i="1" s="1"/>
  <c r="D174" i="1" a="1"/>
  <c r="D174" i="1" s="1"/>
  <c r="D173" i="1" a="1"/>
  <c r="D173" i="1" s="1"/>
  <c r="D172" i="1" a="1"/>
  <c r="D172" i="1" s="1"/>
  <c r="D171" i="1" a="1"/>
  <c r="D171" i="1" s="1"/>
  <c r="D170" i="1" a="1"/>
  <c r="D170" i="1" s="1"/>
  <c r="D169" i="1" a="1"/>
  <c r="D169" i="1" s="1"/>
  <c r="D168" i="1" a="1"/>
  <c r="D168" i="1" s="1"/>
  <c r="D167" i="1" a="1"/>
  <c r="D167" i="1" s="1"/>
  <c r="D166" i="1" a="1"/>
  <c r="D166" i="1" s="1"/>
  <c r="D165" i="1" a="1"/>
  <c r="D165" i="1" s="1"/>
  <c r="D164" i="1" a="1"/>
  <c r="D164" i="1" s="1"/>
  <c r="L163" i="1"/>
  <c r="D163" i="1" a="1"/>
  <c r="D163" i="1" s="1"/>
  <c r="D162" i="1" a="1"/>
  <c r="D162" i="1" s="1"/>
  <c r="D161" i="1" a="1"/>
  <c r="D161" i="1" s="1"/>
  <c r="D160" i="1" a="1"/>
  <c r="D160" i="1" s="1"/>
  <c r="D159" i="1" a="1"/>
  <c r="D159" i="1" s="1"/>
  <c r="D158" i="1" a="1"/>
  <c r="D158" i="1" s="1"/>
  <c r="D157" i="1" a="1"/>
  <c r="D157" i="1" s="1"/>
  <c r="D156" i="1" a="1"/>
  <c r="D156" i="1" s="1"/>
  <c r="D155" i="1" a="1"/>
  <c r="D155" i="1" s="1"/>
  <c r="D154" i="1" a="1"/>
  <c r="D154" i="1" s="1"/>
  <c r="D153" i="1" a="1"/>
  <c r="D153" i="1" s="1"/>
  <c r="D152" i="1" a="1"/>
  <c r="D152" i="1" s="1"/>
  <c r="D151" i="1" a="1"/>
  <c r="D151" i="1" s="1"/>
  <c r="D150" i="1" a="1"/>
  <c r="D150" i="1" s="1"/>
  <c r="D149" i="1" a="1"/>
  <c r="D149" i="1" s="1"/>
  <c r="D148" i="1" a="1"/>
  <c r="D148" i="1" s="1"/>
  <c r="D147" i="1" a="1"/>
  <c r="D147" i="1" s="1"/>
  <c r="D146" i="1" a="1"/>
  <c r="D146" i="1" s="1"/>
  <c r="D145" i="1" a="1"/>
  <c r="D145" i="1" s="1"/>
  <c r="D144" i="1" a="1"/>
  <c r="D144" i="1" s="1"/>
  <c r="D143" i="1" a="1"/>
  <c r="D143" i="1" s="1"/>
  <c r="D142" i="1" a="1"/>
  <c r="D142" i="1" s="1"/>
  <c r="D141" i="1" a="1"/>
  <c r="D141" i="1" s="1"/>
  <c r="D140" i="1" a="1"/>
  <c r="D140" i="1" s="1"/>
  <c r="D139" i="1" a="1"/>
  <c r="D139" i="1" s="1"/>
  <c r="D138" i="1" a="1"/>
  <c r="D138" i="1" s="1"/>
  <c r="D137" i="1" a="1"/>
  <c r="D137" i="1" s="1"/>
  <c r="D136" i="1" a="1"/>
  <c r="D136" i="1" s="1"/>
  <c r="D135" i="1" a="1"/>
  <c r="D135" i="1" s="1"/>
  <c r="D134" i="1" a="1"/>
  <c r="D134" i="1" s="1"/>
  <c r="D133" i="1" a="1"/>
  <c r="D133" i="1" s="1"/>
  <c r="D132" i="1" a="1"/>
  <c r="D132" i="1" s="1"/>
  <c r="D131" i="1" a="1"/>
  <c r="D131" i="1" s="1"/>
  <c r="D130" i="1" a="1"/>
  <c r="D130" i="1" s="1"/>
  <c r="D129" i="1" a="1"/>
  <c r="D129" i="1" s="1"/>
  <c r="D128" i="1" a="1"/>
  <c r="D128" i="1" s="1"/>
  <c r="D127" i="1" a="1"/>
  <c r="D127" i="1" s="1"/>
  <c r="D126" i="1" a="1"/>
  <c r="D126" i="1" s="1"/>
  <c r="D125" i="1" a="1"/>
  <c r="D125" i="1" s="1"/>
  <c r="D124" i="1" a="1"/>
  <c r="D124" i="1" s="1"/>
  <c r="D123" i="1" a="1"/>
  <c r="D123" i="1" s="1"/>
  <c r="D122" i="1" a="1"/>
  <c r="D122" i="1" s="1"/>
  <c r="D121" i="1" a="1"/>
  <c r="D121" i="1" s="1"/>
  <c r="D120" i="1" a="1"/>
  <c r="D120" i="1" s="1"/>
  <c r="D119" i="1" a="1"/>
  <c r="D119" i="1" s="1"/>
  <c r="D118" i="1" a="1"/>
  <c r="D118" i="1" s="1"/>
  <c r="D117" i="1" a="1"/>
  <c r="D117" i="1" s="1"/>
  <c r="D116" i="1" a="1"/>
  <c r="D116" i="1" s="1"/>
  <c r="D115" i="1" a="1"/>
  <c r="D115" i="1" s="1"/>
  <c r="D114" i="1" a="1"/>
  <c r="D114" i="1" s="1"/>
  <c r="D113" i="1" a="1"/>
  <c r="D113" i="1" s="1"/>
  <c r="D112" i="1" a="1"/>
  <c r="D112" i="1" s="1"/>
  <c r="D111" i="1" a="1"/>
  <c r="D111" i="1" s="1"/>
  <c r="D110" i="1" a="1"/>
  <c r="D110" i="1" s="1"/>
  <c r="D109" i="1" a="1"/>
  <c r="D109" i="1" s="1"/>
  <c r="D108" i="1" a="1"/>
  <c r="D108" i="1" s="1"/>
  <c r="D107" i="1" a="1"/>
  <c r="D107" i="1" s="1"/>
  <c r="D106" i="1" a="1"/>
  <c r="D106" i="1" s="1"/>
  <c r="D105" i="1" a="1"/>
  <c r="D105" i="1" s="1"/>
  <c r="D104" i="1" a="1"/>
  <c r="D104" i="1" s="1"/>
  <c r="D103" i="1" a="1"/>
  <c r="D103" i="1" s="1"/>
  <c r="D102" i="1" a="1"/>
  <c r="D102" i="1" s="1"/>
  <c r="D101" i="1" a="1"/>
  <c r="D101" i="1" s="1"/>
  <c r="D100" i="1" a="1"/>
  <c r="D100" i="1" s="1"/>
  <c r="D99" i="1" a="1"/>
  <c r="D99" i="1" s="1"/>
  <c r="D98" i="1" a="1"/>
  <c r="D98" i="1" s="1"/>
  <c r="L97" i="1"/>
  <c r="D97" i="1" a="1"/>
  <c r="D97" i="1" s="1"/>
  <c r="D96" i="1" a="1"/>
  <c r="D96" i="1" s="1"/>
  <c r="L95" i="1"/>
  <c r="D95" i="1" a="1"/>
  <c r="D95" i="1" s="1"/>
  <c r="D94" i="1" a="1"/>
  <c r="D94" i="1" s="1"/>
  <c r="D93" i="1" a="1"/>
  <c r="D93" i="1" s="1"/>
  <c r="D92" i="1" a="1"/>
  <c r="D92" i="1" s="1"/>
  <c r="D91" i="1" a="1"/>
  <c r="D91" i="1" s="1"/>
  <c r="D90" i="1" a="1"/>
  <c r="D90" i="1" s="1"/>
  <c r="D89" i="1" a="1"/>
  <c r="D89" i="1" s="1"/>
  <c r="D88" i="1" a="1"/>
  <c r="D88" i="1" s="1"/>
  <c r="D87" i="1" a="1"/>
  <c r="D87" i="1" s="1"/>
  <c r="D86" i="1" a="1"/>
  <c r="D86" i="1" s="1"/>
  <c r="D85" i="1" a="1"/>
  <c r="D85" i="1" s="1"/>
  <c r="D84" i="1" a="1"/>
  <c r="D84" i="1" s="1"/>
  <c r="D83" i="1" a="1"/>
  <c r="D83" i="1" s="1"/>
  <c r="D82" i="1" a="1"/>
  <c r="D82" i="1" s="1"/>
  <c r="D81" i="1" a="1"/>
  <c r="D81" i="1" s="1"/>
  <c r="D80" i="1" a="1"/>
  <c r="D80" i="1" s="1"/>
  <c r="D79" i="1" a="1"/>
  <c r="D79" i="1" s="1"/>
  <c r="D78" i="1" a="1"/>
  <c r="D78" i="1" s="1"/>
  <c r="D77" i="1" a="1"/>
  <c r="D77" i="1" s="1"/>
  <c r="D76" i="1" a="1"/>
  <c r="D76" i="1" s="1"/>
  <c r="D75" i="1" a="1"/>
  <c r="D75" i="1" s="1"/>
  <c r="D74" i="1" a="1"/>
  <c r="D74" i="1" s="1"/>
  <c r="D73" i="1" a="1"/>
  <c r="D73" i="1" s="1"/>
  <c r="D72" i="1" a="1"/>
  <c r="D72" i="1" s="1"/>
  <c r="D71" i="1" a="1"/>
  <c r="D71" i="1" s="1"/>
  <c r="D70" i="1" a="1"/>
  <c r="D70" i="1" s="1"/>
  <c r="D69" i="1" a="1"/>
  <c r="D69" i="1" s="1"/>
  <c r="D68" i="1" a="1"/>
  <c r="D68" i="1" s="1"/>
  <c r="D67" i="1" a="1"/>
  <c r="D67" i="1" s="1"/>
  <c r="D66" i="1" a="1"/>
  <c r="D66" i="1" s="1"/>
  <c r="D65" i="1" a="1"/>
  <c r="D65" i="1" s="1"/>
  <c r="D64" i="1" a="1"/>
  <c r="D64" i="1" s="1"/>
  <c r="L63" i="1"/>
  <c r="D63" i="1" a="1"/>
  <c r="D63" i="1" s="1"/>
  <c r="D62" i="1" a="1"/>
  <c r="D62" i="1" s="1"/>
  <c r="D61" i="1" a="1"/>
  <c r="D61" i="1" s="1"/>
  <c r="D60" i="1" a="1"/>
  <c r="D60" i="1" s="1"/>
  <c r="D59" i="1" a="1"/>
  <c r="D59" i="1" s="1"/>
  <c r="D58" i="1" a="1"/>
  <c r="D58" i="1" s="1"/>
  <c r="D57" i="1" a="1"/>
  <c r="D57" i="1" s="1"/>
  <c r="D56" i="1" a="1"/>
  <c r="D56" i="1" s="1"/>
  <c r="D55" i="1" a="1"/>
  <c r="D55" i="1" s="1"/>
  <c r="D54" i="1" a="1"/>
  <c r="D54" i="1" s="1"/>
  <c r="D53" i="1" a="1"/>
  <c r="D53" i="1" s="1"/>
  <c r="D52" i="1" a="1"/>
  <c r="D52" i="1" s="1"/>
  <c r="D51" i="1" a="1"/>
  <c r="D51" i="1" s="1"/>
  <c r="D50" i="1" a="1"/>
  <c r="D50" i="1" s="1"/>
  <c r="D49" i="1" a="1"/>
  <c r="D49" i="1" s="1"/>
  <c r="D48" i="1" a="1"/>
  <c r="D48" i="1" s="1"/>
  <c r="L47" i="1"/>
  <c r="D47" i="1" a="1"/>
  <c r="D47" i="1" s="1"/>
  <c r="D46" i="1" a="1"/>
  <c r="D46" i="1" s="1"/>
  <c r="D45" i="1" a="1"/>
  <c r="D45" i="1" s="1"/>
  <c r="D44" i="1" a="1"/>
  <c r="D44" i="1" s="1"/>
  <c r="D43" i="1" a="1"/>
  <c r="D43" i="1" s="1"/>
  <c r="L42" i="1"/>
  <c r="D42" i="1" a="1"/>
  <c r="D42" i="1" s="1"/>
  <c r="D41" i="1" a="1"/>
  <c r="D41" i="1" s="1"/>
  <c r="D40" i="1" a="1"/>
  <c r="D40" i="1" s="1"/>
  <c r="D39" i="1" a="1"/>
  <c r="D39" i="1" s="1"/>
  <c r="D38" i="1" a="1"/>
  <c r="D38" i="1" s="1"/>
  <c r="L37" i="1"/>
  <c r="D37" i="1" a="1"/>
  <c r="D37" i="1" s="1"/>
  <c r="D36" i="1" a="1"/>
  <c r="D36" i="1" s="1"/>
  <c r="D35" i="1" a="1"/>
  <c r="D35" i="1" s="1"/>
  <c r="D34" i="1" a="1"/>
  <c r="D34" i="1" s="1"/>
  <c r="D33" i="1" a="1"/>
  <c r="D33" i="1" s="1"/>
  <c r="D32" i="1" a="1"/>
  <c r="D32" i="1" s="1"/>
  <c r="D31" i="1" a="1"/>
  <c r="D31" i="1" s="1"/>
  <c r="D30" i="1" a="1"/>
  <c r="D30" i="1" s="1"/>
  <c r="D29" i="1" a="1"/>
  <c r="D29" i="1" s="1"/>
  <c r="D28" i="1" a="1"/>
  <c r="D28" i="1" s="1"/>
  <c r="D27" i="1" a="1"/>
  <c r="D27" i="1" s="1"/>
  <c r="D26" i="1" a="1"/>
  <c r="D26" i="1" s="1"/>
  <c r="D25" i="1" a="1"/>
  <c r="D25" i="1" s="1"/>
  <c r="L24" i="1"/>
  <c r="D24" i="1" a="1"/>
  <c r="D24" i="1" s="1"/>
  <c r="D23" i="1" a="1"/>
  <c r="D23" i="1" s="1"/>
  <c r="D22" i="1" a="1"/>
  <c r="D22" i="1" s="1"/>
  <c r="L21" i="1"/>
  <c r="D21" i="1" a="1"/>
  <c r="D21" i="1" s="1"/>
  <c r="L20" i="1"/>
  <c r="D20" i="1" a="1"/>
  <c r="D20" i="1" s="1"/>
  <c r="D19" i="1" a="1"/>
  <c r="D19" i="1" s="1"/>
  <c r="D18" i="1" a="1"/>
  <c r="D18" i="1" s="1"/>
  <c r="D17" i="1" a="1"/>
  <c r="D17" i="1" s="1"/>
  <c r="D16" i="1" a="1"/>
  <c r="D16" i="1" s="1"/>
  <c r="D15" i="1" a="1"/>
  <c r="D15" i="1" s="1"/>
  <c r="D14" i="1" a="1"/>
  <c r="D14" i="1" s="1"/>
  <c r="D13" i="1" a="1"/>
  <c r="D13" i="1" s="1"/>
  <c r="D12" i="1" a="1"/>
  <c r="D12" i="1" s="1"/>
  <c r="D11" i="1" a="1"/>
  <c r="D11" i="1" s="1"/>
  <c r="D10" i="1" a="1"/>
  <c r="D10" i="1" s="1"/>
  <c r="D9" i="1" a="1"/>
  <c r="D9" i="1" s="1"/>
  <c r="D8" i="1" a="1"/>
  <c r="D8" i="1" s="1"/>
  <c r="D7" i="1" a="1"/>
  <c r="D7" i="1" s="1"/>
  <c r="D6" i="1" a="1"/>
  <c r="D6" i="1" s="1"/>
  <c r="D5" i="1" a="1"/>
  <c r="D5" i="1" s="1"/>
  <c r="D4" i="1" a="1"/>
  <c r="D4" i="1" s="1"/>
  <c r="D3" i="1" a="1"/>
  <c r="D3" i="1" s="1"/>
  <c r="L2" i="1"/>
  <c r="D2" i="1" a="1"/>
  <c r="D2" i="1" s="1"/>
  <c r="D1092" i="1" l="1" a="1"/>
  <c r="D1092" i="1" s="1"/>
  <c r="D1093" i="1" a="1"/>
  <c r="D1093" i="1" s="1"/>
  <c r="E1094" i="1"/>
  <c r="D1094" i="1" s="1" a="1"/>
  <c r="D1094" i="1" s="1"/>
  <c r="F720" i="1"/>
  <c r="F608" i="1"/>
  <c r="F722" i="1" s="1"/>
  <c r="E1095" i="1" l="1"/>
  <c r="E1096" i="1" s="1"/>
  <c r="D1095" i="1" l="1" a="1"/>
  <c r="D1095" i="1" s="1"/>
  <c r="E1097" i="1"/>
  <c r="D1096" i="1" a="1"/>
  <c r="D1096" i="1" s="1"/>
  <c r="D1097" i="1" l="1" a="1"/>
  <c r="D1097" i="1" s="1"/>
  <c r="E1098" i="1"/>
  <c r="E1099" i="1" l="1"/>
  <c r="D1098" i="1" a="1"/>
  <c r="D1098" i="1" s="1"/>
  <c r="D1099" i="1" l="1" a="1"/>
  <c r="D1099" i="1" s="1"/>
  <c r="E1100" i="1"/>
  <c r="E1101" i="1" l="1"/>
  <c r="D1100" i="1" a="1"/>
  <c r="D1100" i="1" s="1"/>
  <c r="D1101" i="1" l="1" a="1"/>
  <c r="D1101" i="1" s="1"/>
  <c r="E1102" i="1"/>
  <c r="D1102" i="1" s="1" a="1"/>
  <c r="D1102" i="1" s="1"/>
</calcChain>
</file>

<file path=xl/sharedStrings.xml><?xml version="1.0" encoding="utf-8"?>
<sst xmlns="http://schemas.openxmlformats.org/spreadsheetml/2006/main" count="12880" uniqueCount="2993">
  <si>
    <t>Nilai Produksi Industri Pengolahan</t>
  </si>
  <si>
    <t>Kode Referensi</t>
  </si>
  <si>
    <t>Tgl Ijin</t>
  </si>
  <si>
    <t>Status PM</t>
  </si>
  <si>
    <t>Kecamatan</t>
  </si>
  <si>
    <t>Kapasitas Produksi</t>
  </si>
  <si>
    <t>Patranrejo</t>
  </si>
  <si>
    <t>Berbek</t>
  </si>
  <si>
    <t>Semi Subur PR</t>
  </si>
  <si>
    <t>Perorangan</t>
  </si>
  <si>
    <t>Rokok</t>
  </si>
  <si>
    <t>Batang</t>
  </si>
  <si>
    <t>Kacangan</t>
  </si>
  <si>
    <t>Gajah Sakti PR</t>
  </si>
  <si>
    <t>Macanan</t>
  </si>
  <si>
    <t>Loceret</t>
  </si>
  <si>
    <t>Putri Sekar Menur PR</t>
  </si>
  <si>
    <t>Kedungdowo</t>
  </si>
  <si>
    <t>Nganjuk</t>
  </si>
  <si>
    <t>Jati Makmur</t>
  </si>
  <si>
    <t>UD</t>
  </si>
  <si>
    <t>furnitur</t>
  </si>
  <si>
    <t>Buah</t>
  </si>
  <si>
    <t>Klodan</t>
  </si>
  <si>
    <t>Ngetos</t>
  </si>
  <si>
    <t>Tegar</t>
  </si>
  <si>
    <t>Warujayeng</t>
  </si>
  <si>
    <t>Tanjunganom</t>
  </si>
  <si>
    <t>Maju Jaya Abadi</t>
  </si>
  <si>
    <t>Ketandan</t>
  </si>
  <si>
    <t>Lengkong</t>
  </si>
  <si>
    <t>Putra Jaya</t>
  </si>
  <si>
    <t>Jl.Wilis 41</t>
  </si>
  <si>
    <t>Barokah</t>
  </si>
  <si>
    <t>m3</t>
  </si>
  <si>
    <t>Sawahan</t>
  </si>
  <si>
    <t>Moulding</t>
  </si>
  <si>
    <t>M3</t>
  </si>
  <si>
    <t>Duren</t>
  </si>
  <si>
    <t>Malindo Mandiri</t>
  </si>
  <si>
    <t>Murah</t>
  </si>
  <si>
    <t>Jl. Gub. Suryo 1/12</t>
  </si>
  <si>
    <t>Hutomo Putra</t>
  </si>
  <si>
    <t>CV</t>
  </si>
  <si>
    <t>Pupuk Organik</t>
  </si>
  <si>
    <t>Ton</t>
  </si>
  <si>
    <t>Werungotok</t>
  </si>
  <si>
    <t>Karya Plastindo Industri</t>
  </si>
  <si>
    <t>Biji plastik</t>
  </si>
  <si>
    <t>Peh Serut</t>
  </si>
  <si>
    <t>Sukomoro</t>
  </si>
  <si>
    <t>Abriantama Indosa</t>
  </si>
  <si>
    <t>Mebel logam</t>
  </si>
  <si>
    <t>Unit</t>
  </si>
  <si>
    <t>Karya Usaha</t>
  </si>
  <si>
    <t>Bengkel</t>
  </si>
  <si>
    <t>Petak</t>
  </si>
  <si>
    <t>Bagor</t>
  </si>
  <si>
    <t>Jakarta</t>
  </si>
  <si>
    <t>Jl. Anjuk Ladang 1</t>
  </si>
  <si>
    <t>Sederhana</t>
  </si>
  <si>
    <t>Furnitur</t>
  </si>
  <si>
    <t>Kwagean</t>
  </si>
  <si>
    <t>Sugeng Mulyo</t>
  </si>
  <si>
    <t>Gempol</t>
  </si>
  <si>
    <t>Rejoso</t>
  </si>
  <si>
    <t>Djawa Dwipa PR</t>
  </si>
  <si>
    <t>27 Januari 2010</t>
  </si>
  <si>
    <t>Makmur Tentrem</t>
  </si>
  <si>
    <t>25 Mei 2010</t>
  </si>
  <si>
    <t>Pandan Arum PR</t>
  </si>
  <si>
    <t>Banjarsari</t>
  </si>
  <si>
    <t>Ngronggot</t>
  </si>
  <si>
    <t>Mutiara Wilis PR</t>
  </si>
  <si>
    <t>Juwono</t>
  </si>
  <si>
    <t>Kertosono</t>
  </si>
  <si>
    <t>Delima Satu PR</t>
  </si>
  <si>
    <t>11 Mei 2010</t>
  </si>
  <si>
    <t>Kaidah Utama Bersatu PR</t>
  </si>
  <si>
    <t>Mitra Salsabila PR</t>
  </si>
  <si>
    <t>Ngrengket</t>
  </si>
  <si>
    <t>Sinom Mas</t>
  </si>
  <si>
    <t>11/96/07</t>
  </si>
  <si>
    <t>Katerban</t>
  </si>
  <si>
    <t>Baron</t>
  </si>
  <si>
    <t>Anugerah Jaya Motor</t>
  </si>
  <si>
    <t>Air Accu</t>
  </si>
  <si>
    <t>Liter</t>
  </si>
  <si>
    <t>Girirejo</t>
  </si>
  <si>
    <t>Alam Prima PR</t>
  </si>
  <si>
    <t>Pakuncen</t>
  </si>
  <si>
    <t>Patianrowo</t>
  </si>
  <si>
    <t>Al Qomar</t>
  </si>
  <si>
    <t>Anggur &amp; Sejenisnya</t>
  </si>
  <si>
    <t>Botol</t>
  </si>
  <si>
    <t>Ngadiboyo</t>
  </si>
  <si>
    <t>Wijayanti</t>
  </si>
  <si>
    <t>Gemenggeng</t>
  </si>
  <si>
    <t>Pace</t>
  </si>
  <si>
    <t>Keluarga Mandiri</t>
  </si>
  <si>
    <t>Tepung</t>
  </si>
  <si>
    <t>Watudandang</t>
  </si>
  <si>
    <t>Prambon</t>
  </si>
  <si>
    <t>Ageng Mulyo</t>
  </si>
  <si>
    <t>Babadan</t>
  </si>
  <si>
    <t>Sono Mulia jaya</t>
  </si>
  <si>
    <t>Gula Merah</t>
  </si>
  <si>
    <t>Kedungrejo</t>
  </si>
  <si>
    <t>Sumber Maju</t>
  </si>
  <si>
    <t>Tahu</t>
  </si>
  <si>
    <t>Cepoko</t>
  </si>
  <si>
    <t>Tombo Ati</t>
  </si>
  <si>
    <t>Sonoageng</t>
  </si>
  <si>
    <t>Anugrah Jaya</t>
  </si>
  <si>
    <t>Krupuk</t>
  </si>
  <si>
    <t>Sri Mulyo</t>
  </si>
  <si>
    <t>Chao</t>
  </si>
  <si>
    <t>Kw</t>
  </si>
  <si>
    <t>Campur</t>
  </si>
  <si>
    <t>Gondang</t>
  </si>
  <si>
    <t>Damai</t>
  </si>
  <si>
    <t>Makanan Ringan</t>
  </si>
  <si>
    <t>An Nushibat PR</t>
  </si>
  <si>
    <t>Btg</t>
  </si>
  <si>
    <t>Bulu</t>
  </si>
  <si>
    <t>Cahaya Terang PR</t>
  </si>
  <si>
    <t>Sidoharjo</t>
  </si>
  <si>
    <t>Berkah Abadi PR</t>
  </si>
  <si>
    <t>14 Juni 2010</t>
  </si>
  <si>
    <t>Selorejo</t>
  </si>
  <si>
    <t>Khakas Reja Abadi PR</t>
  </si>
  <si>
    <t>Mangundikaran</t>
  </si>
  <si>
    <t>Lintang Jaya PR</t>
  </si>
  <si>
    <t>Gandu</t>
  </si>
  <si>
    <t>Makmur</t>
  </si>
  <si>
    <t>Stel</t>
  </si>
  <si>
    <t>Salamrejo</t>
  </si>
  <si>
    <t>Daun Intan PR</t>
  </si>
  <si>
    <t>15 Desember 2009</t>
  </si>
  <si>
    <t>Sendangbumen</t>
  </si>
  <si>
    <t>Durian Mas Sejahtera PR</t>
  </si>
  <si>
    <t>26 Januari 2010</t>
  </si>
  <si>
    <t>Getas</t>
  </si>
  <si>
    <t>Putra Masa Depan PR</t>
  </si>
  <si>
    <t>Kaisar Sejati PR</t>
  </si>
  <si>
    <t>Talun</t>
  </si>
  <si>
    <t>Teguh Rahayu II</t>
  </si>
  <si>
    <t>Tegel</t>
  </si>
  <si>
    <t>M2</t>
  </si>
  <si>
    <t>Jekek</t>
  </si>
  <si>
    <t>Bakhir</t>
  </si>
  <si>
    <t>Grojogan</t>
  </si>
  <si>
    <t>Sidomulyo</t>
  </si>
  <si>
    <t>Jetis</t>
  </si>
  <si>
    <t>Tekad Yudha Karya</t>
  </si>
  <si>
    <t>Dingin</t>
  </si>
  <si>
    <t>Jati Indah</t>
  </si>
  <si>
    <t>Balongrejo</t>
  </si>
  <si>
    <t>Firma's Sejati</t>
  </si>
  <si>
    <t>Bagorkulon</t>
  </si>
  <si>
    <t>Karno Subur</t>
  </si>
  <si>
    <t>Sumberurip</t>
  </si>
  <si>
    <t>Kharisma Bambu</t>
  </si>
  <si>
    <t>Bengkel Las Mitra Tani</t>
  </si>
  <si>
    <t>Bengkel Las</t>
  </si>
  <si>
    <t>Python Jaya Abadi</t>
  </si>
  <si>
    <t>Shuttlecock</t>
  </si>
  <si>
    <t>Lusin</t>
  </si>
  <si>
    <t>16 Juni 2009</t>
  </si>
  <si>
    <t>Blitaran</t>
  </si>
  <si>
    <t>Bintang Jaya</t>
  </si>
  <si>
    <t>Kuncoro Billyard</t>
  </si>
  <si>
    <t>Alat Permainan</t>
  </si>
  <si>
    <t>Karya Logam</t>
  </si>
  <si>
    <t>Pehserut</t>
  </si>
  <si>
    <t>Kereta Api</t>
  </si>
  <si>
    <t>Kopi</t>
  </si>
  <si>
    <t>Gondangkulon</t>
  </si>
  <si>
    <t>Jati Agung</t>
  </si>
  <si>
    <t>Kaloran</t>
  </si>
  <si>
    <t>Bintang Utama</t>
  </si>
  <si>
    <t>Genteng</t>
  </si>
  <si>
    <t>Jati Mulyo</t>
  </si>
  <si>
    <t>Sambikerep</t>
  </si>
  <si>
    <t>Rukun Makmur</t>
  </si>
  <si>
    <t>Klagen</t>
  </si>
  <si>
    <t>Tunggal Jaya</t>
  </si>
  <si>
    <t>Blongko</t>
  </si>
  <si>
    <t>Citra Elga AB PR</t>
  </si>
  <si>
    <t>Wala Abadi</t>
  </si>
  <si>
    <t>Kuncir</t>
  </si>
  <si>
    <t>Satria Wangkot</t>
  </si>
  <si>
    <t>Sarinah Furnitur</t>
  </si>
  <si>
    <t>Karya Mandiri Sentosa PR</t>
  </si>
  <si>
    <t>Putra Andyka PR</t>
  </si>
  <si>
    <t>Cengkok</t>
  </si>
  <si>
    <t>Bawang Mas</t>
  </si>
  <si>
    <t>Banaran</t>
  </si>
  <si>
    <t>Kairo</t>
  </si>
  <si>
    <t>Kramat</t>
  </si>
  <si>
    <t>Irul Jaya</t>
  </si>
  <si>
    <t>Rahayu</t>
  </si>
  <si>
    <t>kwagean</t>
  </si>
  <si>
    <t>Sambi Mulyo</t>
  </si>
  <si>
    <t>Cangkringan</t>
  </si>
  <si>
    <t>Kurnia Glas</t>
  </si>
  <si>
    <t>Kaca Ukir</t>
  </si>
  <si>
    <t>M 2</t>
  </si>
  <si>
    <t>Sugihwaras</t>
  </si>
  <si>
    <t>Ela Jaya</t>
  </si>
  <si>
    <t>Ratna Jaya</t>
  </si>
  <si>
    <t xml:space="preserve">Pupuk </t>
  </si>
  <si>
    <t>Bintang Jati</t>
  </si>
  <si>
    <t>Agri Sentosa Perkasa</t>
  </si>
  <si>
    <t>Pupuk Cair</t>
  </si>
  <si>
    <t>Singkalanyar</t>
  </si>
  <si>
    <t>Tiga Putra</t>
  </si>
  <si>
    <t>Kg</t>
  </si>
  <si>
    <t>Link. Karangrejo</t>
  </si>
  <si>
    <t>Jati Mulya</t>
  </si>
  <si>
    <t>Jogomerto</t>
  </si>
  <si>
    <t>Sinar Jeporo Dua</t>
  </si>
  <si>
    <t xml:space="preserve"> Jl. Wakhid Hasyim 312</t>
  </si>
  <si>
    <t>Bubuk Kedelai Marasake</t>
  </si>
  <si>
    <t>Koperasi</t>
  </si>
  <si>
    <t>Bubuk Kedelai</t>
  </si>
  <si>
    <t>Jati Usada</t>
  </si>
  <si>
    <t>Bareng</t>
  </si>
  <si>
    <t>Abadi Jaya</t>
  </si>
  <si>
    <t>Minyak Atsiri</t>
  </si>
  <si>
    <t>Mandiri</t>
  </si>
  <si>
    <t>Margopatut</t>
  </si>
  <si>
    <t>Kabul</t>
  </si>
  <si>
    <t>Sukorejo</t>
  </si>
  <si>
    <t>Linggar Jati</t>
  </si>
  <si>
    <t>Surya Perkasa Abadi PR</t>
  </si>
  <si>
    <t>Mlorah</t>
  </si>
  <si>
    <t>Ciputra PR</t>
  </si>
  <si>
    <t>Mutu Jaya PR</t>
  </si>
  <si>
    <t>5 Mei 2010</t>
  </si>
  <si>
    <t xml:space="preserve">Sidokare </t>
  </si>
  <si>
    <t>Jatah Remaja PR</t>
  </si>
  <si>
    <t>11 Januari 2010</t>
  </si>
  <si>
    <t>Gondanglegi</t>
  </si>
  <si>
    <t>Bawang Surya</t>
  </si>
  <si>
    <t>Kecap</t>
  </si>
  <si>
    <t>Lt</t>
  </si>
  <si>
    <t>Surya Alam</t>
  </si>
  <si>
    <t>Candirejo</t>
  </si>
  <si>
    <t>Sumber Agung</t>
  </si>
  <si>
    <t>Sandal Jepit</t>
  </si>
  <si>
    <t>Pasang</t>
  </si>
  <si>
    <t>Sombron</t>
  </si>
  <si>
    <t>Smas Shindo Perkasa</t>
  </si>
  <si>
    <t>Tanjungrejo</t>
  </si>
  <si>
    <t>Fajar Mulia PR</t>
  </si>
  <si>
    <t>Jl. DI. Panjaitan 72</t>
  </si>
  <si>
    <t>Jati Mas PR</t>
  </si>
  <si>
    <t>Tunas Harapan</t>
  </si>
  <si>
    <t>Banjardowo</t>
  </si>
  <si>
    <t>Pelita Hasta Kencana PR</t>
  </si>
  <si>
    <t>Pelita Hasta Kencana</t>
  </si>
  <si>
    <t>Mamin</t>
  </si>
  <si>
    <t xml:space="preserve">Tanjung </t>
  </si>
  <si>
    <t>Abi Seka</t>
  </si>
  <si>
    <t>Tepung tapioka</t>
  </si>
  <si>
    <t>Tembarak</t>
  </si>
  <si>
    <t>Sunaryo</t>
  </si>
  <si>
    <t>Putri Azza dewi</t>
  </si>
  <si>
    <t>anggur &amp; sejenisnya</t>
  </si>
  <si>
    <t>Jati Purnomo</t>
  </si>
  <si>
    <t>Trana putra PR</t>
  </si>
  <si>
    <t>SM. Samsu Mas PR</t>
  </si>
  <si>
    <t>Daun Mas PR</t>
  </si>
  <si>
    <t>Sumber windu</t>
  </si>
  <si>
    <t>Setia Agung PR</t>
  </si>
  <si>
    <t>Sido Mulyo Akor PR</t>
  </si>
  <si>
    <t>Mlilir</t>
  </si>
  <si>
    <t>Sinar Fajar PR</t>
  </si>
  <si>
    <t>Tunas Bakti PR</t>
  </si>
  <si>
    <t xml:space="preserve">Jl. Monginsidi 2 </t>
  </si>
  <si>
    <t>Mangga Gandeng PR</t>
  </si>
  <si>
    <t>13 Januari 2010</t>
  </si>
  <si>
    <t>Jl. Letjen Suprapto 278</t>
  </si>
  <si>
    <t xml:space="preserve">Lumbung Jaya PR </t>
  </si>
  <si>
    <t>2 Oktober 2009</t>
  </si>
  <si>
    <t xml:space="preserve">Ringinanom </t>
  </si>
  <si>
    <t>Cengkir Gading PR</t>
  </si>
  <si>
    <t>Jl. Jend.A.Yani 85</t>
  </si>
  <si>
    <t>Putri Sejati</t>
  </si>
  <si>
    <t xml:space="preserve">anggur &amp; sejenisnya </t>
  </si>
  <si>
    <t>Subur Indah</t>
  </si>
  <si>
    <t>Jl. Gondowardoyo</t>
  </si>
  <si>
    <t>Aneka Usaha</t>
  </si>
  <si>
    <t>PD</t>
  </si>
  <si>
    <t>Percetakan</t>
  </si>
  <si>
    <t>Lembar</t>
  </si>
  <si>
    <t>Sumengko</t>
  </si>
  <si>
    <t>Surabaya</t>
  </si>
  <si>
    <t>Jl. Jend.A.Yani 290</t>
  </si>
  <si>
    <t>Kerbau Hijau PR</t>
  </si>
  <si>
    <t>Rokok SKT</t>
  </si>
  <si>
    <t xml:space="preserve">Batang </t>
  </si>
  <si>
    <t>Jl. Jend. A. Yani 73</t>
  </si>
  <si>
    <t>Kerbau Merah PR</t>
  </si>
  <si>
    <t>Mawar Berlian</t>
  </si>
  <si>
    <t>Mie Kering</t>
  </si>
  <si>
    <t>124,5</t>
  </si>
  <si>
    <t>Jl.Yos sudarso 16 A</t>
  </si>
  <si>
    <t>Mentjo PR</t>
  </si>
  <si>
    <t xml:space="preserve">Rokok </t>
  </si>
  <si>
    <t>Jl. Pang. Sudirman 230</t>
  </si>
  <si>
    <t>Trisno Agung</t>
  </si>
  <si>
    <t>Minuman Ringan</t>
  </si>
  <si>
    <t>Krat</t>
  </si>
  <si>
    <t xml:space="preserve">Jl. Diponegoro VI/7 </t>
  </si>
  <si>
    <t>R.I / Memory</t>
  </si>
  <si>
    <t>Jl. Merdeka I/1</t>
  </si>
  <si>
    <t>Luhur Jaya</t>
  </si>
  <si>
    <t>Rim</t>
  </si>
  <si>
    <t>Jl. Ronggowarsito</t>
  </si>
  <si>
    <t>Pantas</t>
  </si>
  <si>
    <t>Jl. WR. Mongonsidi 43</t>
  </si>
  <si>
    <t>Niki Echo</t>
  </si>
  <si>
    <t>Jaya Abadi</t>
  </si>
  <si>
    <t>240;600;300</t>
  </si>
  <si>
    <t>Stel;buah;M3</t>
  </si>
  <si>
    <t>Jati Agung Mulya</t>
  </si>
  <si>
    <t>Jl. Imam Bonjol 21</t>
  </si>
  <si>
    <t>Potong Hewan</t>
  </si>
  <si>
    <t>Jl. Ir. Juanda 40</t>
  </si>
  <si>
    <t>Juanda</t>
  </si>
  <si>
    <t>59/14</t>
  </si>
  <si>
    <t>Stel/M3</t>
  </si>
  <si>
    <t xml:space="preserve">Begadung </t>
  </si>
  <si>
    <t>Wahyu</t>
  </si>
  <si>
    <t>Jl. Imam Bonjol 123</t>
  </si>
  <si>
    <t>Tri Bakti</t>
  </si>
  <si>
    <t>60/30</t>
  </si>
  <si>
    <t>Stel/Buah</t>
  </si>
  <si>
    <t>Jl. Pang. Sudirman 153</t>
  </si>
  <si>
    <t>Borobudur</t>
  </si>
  <si>
    <t>Tegel &amp; Beton</t>
  </si>
  <si>
    <t>10000; 2500</t>
  </si>
  <si>
    <t>M2 ; buah</t>
  </si>
  <si>
    <t>Jl. Letjen Suprapto 13</t>
  </si>
  <si>
    <t>Muji Jaya</t>
  </si>
  <si>
    <t>125/108</t>
  </si>
  <si>
    <t>M3/Stel</t>
  </si>
  <si>
    <t>Sumber Urip</t>
  </si>
  <si>
    <t>Arang Kayu</t>
  </si>
  <si>
    <t>Gg. Jeruk 25</t>
  </si>
  <si>
    <t>Prima</t>
  </si>
  <si>
    <t>Jl. Sersan Harun 70</t>
  </si>
  <si>
    <t>Kamanda</t>
  </si>
  <si>
    <t xml:space="preserve">Jatirejo </t>
  </si>
  <si>
    <t>Jati Langgeng Indah</t>
  </si>
  <si>
    <t>Adi Jaya</t>
  </si>
  <si>
    <t>JL. Jend.A.Yani 74</t>
  </si>
  <si>
    <t xml:space="preserve">Mulia </t>
  </si>
  <si>
    <t>Pertukangan Emas</t>
  </si>
  <si>
    <t>Gram</t>
  </si>
  <si>
    <t>Jl. Jend.A. Yani 112</t>
  </si>
  <si>
    <t>Shinto</t>
  </si>
  <si>
    <t>Jl. A.Yani 205</t>
  </si>
  <si>
    <t>Toko Hijo</t>
  </si>
  <si>
    <t>Jl. Jend.A.Yani 4</t>
  </si>
  <si>
    <t>Pendowo</t>
  </si>
  <si>
    <t>Ploso</t>
  </si>
  <si>
    <t>Tahu Winong</t>
  </si>
  <si>
    <t>Mulur</t>
  </si>
  <si>
    <t>Darmo Soewito</t>
  </si>
  <si>
    <t>Gg. Melati 24</t>
  </si>
  <si>
    <t>Jembar</t>
  </si>
  <si>
    <t>Jl. Teuku Umar</t>
  </si>
  <si>
    <t>SHN</t>
  </si>
  <si>
    <t>14,5</t>
  </si>
  <si>
    <t>Jl. Jend.A.Yani 311</t>
  </si>
  <si>
    <t>Yani</t>
  </si>
  <si>
    <t>Jl. Gatot Subroto 37</t>
  </si>
  <si>
    <t>Bina Karya</t>
  </si>
  <si>
    <t>Jati Jaya Templek</t>
  </si>
  <si>
    <t>40/150</t>
  </si>
  <si>
    <t>Jend.A.Yani</t>
  </si>
  <si>
    <t>Mulya</t>
  </si>
  <si>
    <t>Jl. Lurah Suradarmo</t>
  </si>
  <si>
    <t>Tunggul Jaya</t>
  </si>
  <si>
    <t>Mebel Logam</t>
  </si>
  <si>
    <t>Jl. Teuku Umar I/29</t>
  </si>
  <si>
    <t>Tri Waluya</t>
  </si>
  <si>
    <t>Kerep Kidul</t>
  </si>
  <si>
    <t>Rimba Jati</t>
  </si>
  <si>
    <t>3 Juli 2009</t>
  </si>
  <si>
    <t xml:space="preserve">Jl. Kediri  15      </t>
  </si>
  <si>
    <t>Marlina Rahayu</t>
  </si>
  <si>
    <t>Guyangan</t>
  </si>
  <si>
    <t xml:space="preserve">Kedung Mas </t>
  </si>
  <si>
    <t>Open Tembakau</t>
  </si>
  <si>
    <t>Sekar Putih</t>
  </si>
  <si>
    <t>Jati Semi</t>
  </si>
  <si>
    <t>5 Oktober 2009</t>
  </si>
  <si>
    <t>ABA</t>
  </si>
  <si>
    <t xml:space="preserve">Gempol Jati </t>
  </si>
  <si>
    <t xml:space="preserve">Jl. Raya Madiun </t>
  </si>
  <si>
    <t>Dinas</t>
  </si>
  <si>
    <t>Bak Truk</t>
  </si>
  <si>
    <t>Linda Jaya</t>
  </si>
  <si>
    <t>Kendalrejo</t>
  </si>
  <si>
    <t>Marem</t>
  </si>
  <si>
    <t>Kedondong</t>
  </si>
  <si>
    <t>Karya Agung</t>
  </si>
  <si>
    <t>Perbengkelan</t>
  </si>
  <si>
    <t>Embun Kenanga</t>
  </si>
  <si>
    <t>Es Batu</t>
  </si>
  <si>
    <t>Ngumpul</t>
  </si>
  <si>
    <t>Sendang Jati</t>
  </si>
  <si>
    <t>Kemaduh</t>
  </si>
  <si>
    <t>Alam Barito</t>
  </si>
  <si>
    <t>530/88</t>
  </si>
  <si>
    <t>Baru Mekar</t>
  </si>
  <si>
    <t>Basuki Jaya</t>
  </si>
  <si>
    <t>Kompor m.tanah</t>
  </si>
  <si>
    <t>Kurnia</t>
  </si>
  <si>
    <t>Jati Luhur</t>
  </si>
  <si>
    <t>Sumber Jati</t>
  </si>
  <si>
    <t>Semare</t>
  </si>
  <si>
    <t>Sumber Rejeki</t>
  </si>
  <si>
    <t>Penggergajian</t>
  </si>
  <si>
    <r>
      <t>M</t>
    </r>
    <r>
      <rPr>
        <vertAlign val="superscript"/>
        <sz val="8"/>
        <rFont val="Arial"/>
        <family val="2"/>
      </rPr>
      <t>3</t>
    </r>
  </si>
  <si>
    <t>Khambali</t>
  </si>
  <si>
    <t>Suwadji</t>
  </si>
  <si>
    <t>Kuda Terbang</t>
  </si>
  <si>
    <t>Jati Arum</t>
  </si>
  <si>
    <t>Jati Wangi</t>
  </si>
  <si>
    <t>Sonopatik</t>
  </si>
  <si>
    <t>Jati Utama</t>
  </si>
  <si>
    <t>Balonggebang</t>
  </si>
  <si>
    <t>Jati Kencana</t>
  </si>
  <si>
    <t>Gondang Kulon</t>
  </si>
  <si>
    <t>Jati Kembar</t>
  </si>
  <si>
    <t>Penggergajian Kayu</t>
  </si>
  <si>
    <t>Pandean</t>
  </si>
  <si>
    <t>Karya Santosa</t>
  </si>
  <si>
    <t>Kedung Mas</t>
  </si>
  <si>
    <t>Ngujung</t>
  </si>
  <si>
    <t>Sumber Mulya</t>
  </si>
  <si>
    <t>110/15</t>
  </si>
  <si>
    <t>Stel/ M3</t>
  </si>
  <si>
    <t>102/16</t>
  </si>
  <si>
    <t>Kasim Sumitro</t>
  </si>
  <si>
    <t>Pasiyem B</t>
  </si>
  <si>
    <t>Sumber Baru</t>
  </si>
  <si>
    <t>Tamilan</t>
  </si>
  <si>
    <t>Sumber Rejo</t>
  </si>
  <si>
    <t xml:space="preserve">Stel </t>
  </si>
  <si>
    <t>Senggowar</t>
  </si>
  <si>
    <t xml:space="preserve">Sumber Rejeki  </t>
  </si>
  <si>
    <t>Kutorejo</t>
  </si>
  <si>
    <t>Kamari</t>
  </si>
  <si>
    <t xml:space="preserve">Tahu </t>
  </si>
  <si>
    <t>Drenges</t>
  </si>
  <si>
    <t>Pohon Kurma</t>
  </si>
  <si>
    <t xml:space="preserve">Teh hijau </t>
  </si>
  <si>
    <t>Jl. Kenari  4 A</t>
  </si>
  <si>
    <t>Sri Rejeki</t>
  </si>
  <si>
    <t>Jl. Jend. A. Yani 38</t>
  </si>
  <si>
    <t>Sri Cahyo</t>
  </si>
  <si>
    <t>Jl.Kusuma Bangsa 11</t>
  </si>
  <si>
    <t>Suka Putra</t>
  </si>
  <si>
    <t>27,6</t>
  </si>
  <si>
    <t xml:space="preserve">Jl.Gadung 27             </t>
  </si>
  <si>
    <t>Hikmah</t>
  </si>
  <si>
    <t>18,5</t>
  </si>
  <si>
    <t>Garuda</t>
  </si>
  <si>
    <t>Jl. Gatot subroto 16</t>
  </si>
  <si>
    <t>Kopen Lok</t>
  </si>
  <si>
    <t>pembuatan topi laken</t>
  </si>
  <si>
    <t>Jl. Bengkoang  65</t>
  </si>
  <si>
    <t>Budi Agung</t>
  </si>
  <si>
    <t>Jl. Bengkoang  20 A</t>
  </si>
  <si>
    <t>A r i f</t>
  </si>
  <si>
    <t>Jl. Jend. A. yani  22</t>
  </si>
  <si>
    <t>Kilat</t>
  </si>
  <si>
    <t>Jl.Gotong Royong</t>
  </si>
  <si>
    <t>Gunung Mas</t>
  </si>
  <si>
    <t>Pengolahan Plastik Bekas</t>
  </si>
  <si>
    <t>Kudu</t>
  </si>
  <si>
    <t xml:space="preserve">Sumber Makmur </t>
  </si>
  <si>
    <t xml:space="preserve">Mekar Sari    </t>
  </si>
  <si>
    <t>Jl. Gatot Subroto 70</t>
  </si>
  <si>
    <t>Ratna</t>
  </si>
  <si>
    <t xml:space="preserve">Pertukangan Emas </t>
  </si>
  <si>
    <t>Jl. Jend. A. Yani 91</t>
  </si>
  <si>
    <t>1740/50</t>
  </si>
  <si>
    <t>M2/Buah</t>
  </si>
  <si>
    <t>Jl. Gatot Subroto  114</t>
  </si>
  <si>
    <t xml:space="preserve">Garuda </t>
  </si>
  <si>
    <t>2610/75</t>
  </si>
  <si>
    <t>Jl. Supriyadi  78</t>
  </si>
  <si>
    <t>Sumber Sari</t>
  </si>
  <si>
    <t>Pembotolan Susu</t>
  </si>
  <si>
    <t>Jl. Gatot Subroto  40</t>
  </si>
  <si>
    <t xml:space="preserve">Murah </t>
  </si>
  <si>
    <t xml:space="preserve">Perbengkelan </t>
  </si>
  <si>
    <t>Jl. Bromo  11</t>
  </si>
  <si>
    <t>KTS</t>
  </si>
  <si>
    <t>Jl. Bromo</t>
  </si>
  <si>
    <t>Tongo</t>
  </si>
  <si>
    <t xml:space="preserve">Mebel Logam </t>
  </si>
  <si>
    <t>1300/160</t>
  </si>
  <si>
    <t>Lambang          kuning</t>
  </si>
  <si>
    <t>Masir Jaya</t>
  </si>
  <si>
    <t>Sumber Makmur</t>
  </si>
  <si>
    <t>Sumberkepuh</t>
  </si>
  <si>
    <t>Wiro Sumarto</t>
  </si>
  <si>
    <t>Ngringin</t>
  </si>
  <si>
    <t>Mulyani</t>
  </si>
  <si>
    <t>Jegrek</t>
  </si>
  <si>
    <t>Pawiro Astro</t>
  </si>
  <si>
    <t>20,8</t>
  </si>
  <si>
    <t>Matdai</t>
  </si>
  <si>
    <t>Lasidi</t>
  </si>
  <si>
    <t>17,4</t>
  </si>
  <si>
    <t>Suwadi</t>
  </si>
  <si>
    <t>Sardo</t>
  </si>
  <si>
    <t>Sakur</t>
  </si>
  <si>
    <t>Balongasem</t>
  </si>
  <si>
    <t>Musdi</t>
  </si>
  <si>
    <t>10,5</t>
  </si>
  <si>
    <t>Mardjuki</t>
  </si>
  <si>
    <t>Sardi</t>
  </si>
  <si>
    <t>Kairin</t>
  </si>
  <si>
    <t>8,75</t>
  </si>
  <si>
    <t>Abdul Kamid</t>
  </si>
  <si>
    <t>Jatipungkur</t>
  </si>
  <si>
    <t>Rustamadji</t>
  </si>
  <si>
    <t>24,5</t>
  </si>
  <si>
    <t xml:space="preserve">Ngringin,             </t>
  </si>
  <si>
    <t xml:space="preserve">Seger </t>
  </si>
  <si>
    <t>Tarmudji</t>
  </si>
  <si>
    <t>Rukun Tani</t>
  </si>
  <si>
    <t xml:space="preserve">Sawahan       </t>
  </si>
  <si>
    <t>Suhadi</t>
  </si>
  <si>
    <t>Darmo Suwito</t>
  </si>
  <si>
    <t>Sumber Karya</t>
  </si>
  <si>
    <t>Farid</t>
  </si>
  <si>
    <t xml:space="preserve">Krupuk  </t>
  </si>
  <si>
    <t>Sumber Pangan</t>
  </si>
  <si>
    <t>Dwi Karya Jati</t>
  </si>
  <si>
    <t>Candi Baru</t>
  </si>
  <si>
    <t>Heron</t>
  </si>
  <si>
    <t>16 Juli 2009</t>
  </si>
  <si>
    <t>Trunojoyo 61</t>
  </si>
  <si>
    <t>Pyramid</t>
  </si>
  <si>
    <t>Gunung Jati</t>
  </si>
  <si>
    <t xml:space="preserve">Penggergajian </t>
  </si>
  <si>
    <t>Bersama Subur</t>
  </si>
  <si>
    <t>Teken Glagahan</t>
  </si>
  <si>
    <t>Jodo</t>
  </si>
  <si>
    <t>Rimba Jaya</t>
  </si>
  <si>
    <t>Jatirejo</t>
  </si>
  <si>
    <t>Mustika Laras</t>
  </si>
  <si>
    <t>Gamelan</t>
  </si>
  <si>
    <t>Madu Laras</t>
  </si>
  <si>
    <t>Ngelan</t>
  </si>
  <si>
    <t>Lancar</t>
  </si>
  <si>
    <t>Gunung Semeru</t>
  </si>
  <si>
    <t>Sayangan</t>
  </si>
  <si>
    <t>Cepoko Mulyo</t>
  </si>
  <si>
    <t>Budi Jaya</t>
  </si>
  <si>
    <t>Sari Madu</t>
  </si>
  <si>
    <t>Mungkung</t>
  </si>
  <si>
    <t>Kholik</t>
  </si>
  <si>
    <t>Mojoduwur</t>
  </si>
  <si>
    <t>Jainudin</t>
  </si>
  <si>
    <t>Anggur</t>
  </si>
  <si>
    <t>Klurahan</t>
  </si>
  <si>
    <t>Sarkam</t>
  </si>
  <si>
    <t>Mojokendil</t>
  </si>
  <si>
    <t>Sahid</t>
  </si>
  <si>
    <t>Sukur</t>
  </si>
  <si>
    <t>Biji</t>
  </si>
  <si>
    <t>KL. Suka</t>
  </si>
  <si>
    <t>Ngluyu</t>
  </si>
  <si>
    <t>Tarmidi</t>
  </si>
  <si>
    <t>Open tembakau</t>
  </si>
  <si>
    <t>Gampeng</t>
  </si>
  <si>
    <t>Parlan</t>
  </si>
  <si>
    <t>Sukiran</t>
  </si>
  <si>
    <t>Bibit Rejeki</t>
  </si>
  <si>
    <t>Industri Kapur</t>
  </si>
  <si>
    <t>Tjokrodinomo</t>
  </si>
  <si>
    <t>Sopo Nyono</t>
  </si>
  <si>
    <t>Parto</t>
  </si>
  <si>
    <t>Sugiyo</t>
  </si>
  <si>
    <t>Mulyo</t>
  </si>
  <si>
    <t>227,5</t>
  </si>
  <si>
    <t>Sumber Arum</t>
  </si>
  <si>
    <t>Bajang</t>
  </si>
  <si>
    <t>Paidin</t>
  </si>
  <si>
    <t>Joho</t>
  </si>
  <si>
    <t>Jati Kusuma</t>
  </si>
  <si>
    <t>Jati Langgeng</t>
  </si>
  <si>
    <t>Rahayu Widodo</t>
  </si>
  <si>
    <t>Mlandangan</t>
  </si>
  <si>
    <t>Samiono</t>
  </si>
  <si>
    <t>Djamin</t>
  </si>
  <si>
    <t xml:space="preserve">Besar </t>
  </si>
  <si>
    <t>Paidjan</t>
  </si>
  <si>
    <t>Bukur</t>
  </si>
  <si>
    <t>17,5</t>
  </si>
  <si>
    <t>Widji</t>
  </si>
  <si>
    <t>Lestari</t>
  </si>
  <si>
    <t>Tanjungtani</t>
  </si>
  <si>
    <t>Baleturi</t>
  </si>
  <si>
    <t>Cipto</t>
  </si>
  <si>
    <t>Sonoagung</t>
  </si>
  <si>
    <t>Garuda Aluminium</t>
  </si>
  <si>
    <t>Bandung</t>
  </si>
  <si>
    <t>Bandung Jaya</t>
  </si>
  <si>
    <t>Setia Karya</t>
  </si>
  <si>
    <t>Sidodadi</t>
  </si>
  <si>
    <t>Kurungrejo</t>
  </si>
  <si>
    <t>Tentrem</t>
  </si>
  <si>
    <t>Sri Mulat</t>
  </si>
  <si>
    <t>Jaya Makmur</t>
  </si>
  <si>
    <t>Perhiasan Imitasi</t>
  </si>
  <si>
    <t>Dosin</t>
  </si>
  <si>
    <t>Dua Udang Istimewa</t>
  </si>
  <si>
    <t>Tirto Mulyo</t>
  </si>
  <si>
    <t>Becak Tanijaya</t>
  </si>
  <si>
    <t>Putra Nusantara</t>
  </si>
  <si>
    <t>Musirlor</t>
  </si>
  <si>
    <t>Dwi Makmur</t>
  </si>
  <si>
    <t>Indra Karya Indah</t>
  </si>
  <si>
    <t>Sumber Sandang</t>
  </si>
  <si>
    <t xml:space="preserve">Jati Surya </t>
  </si>
  <si>
    <t>Pamudji</t>
  </si>
  <si>
    <t>1200/400</t>
  </si>
  <si>
    <t>Buah/Stel</t>
  </si>
  <si>
    <t>Ngangkatan</t>
  </si>
  <si>
    <t>Darmawasito</t>
  </si>
  <si>
    <t>Talang</t>
  </si>
  <si>
    <t>Djaman</t>
  </si>
  <si>
    <t>Moeryadi</t>
  </si>
  <si>
    <t>Muslim</t>
  </si>
  <si>
    <t>Ponidi</t>
  </si>
  <si>
    <t>Iskalan</t>
  </si>
  <si>
    <t>Pudjito</t>
  </si>
  <si>
    <t>Kecubung</t>
  </si>
  <si>
    <t>Prima Star</t>
  </si>
  <si>
    <t>Rekaman</t>
  </si>
  <si>
    <t>Keping</t>
  </si>
  <si>
    <t>Yupiter</t>
  </si>
  <si>
    <t>Sinar Mas</t>
  </si>
  <si>
    <t>367/186</t>
  </si>
  <si>
    <t xml:space="preserve">Karya Niaga Jaya </t>
  </si>
  <si>
    <t>550/280</t>
  </si>
  <si>
    <t xml:space="preserve">Panca Usaha </t>
  </si>
  <si>
    <t>Arang kayu</t>
  </si>
  <si>
    <t>Sutalim</t>
  </si>
  <si>
    <t>Djasmin</t>
  </si>
  <si>
    <t>Putren</t>
  </si>
  <si>
    <t>Warno</t>
  </si>
  <si>
    <t>Nglundo</t>
  </si>
  <si>
    <t>Vespa</t>
  </si>
  <si>
    <t>Margo Rejo</t>
  </si>
  <si>
    <t>52/100</t>
  </si>
  <si>
    <t>60/120</t>
  </si>
  <si>
    <t>Agung Jaya</t>
  </si>
  <si>
    <t>Sumber Kepuh</t>
  </si>
  <si>
    <t>Sapu Jagad</t>
  </si>
  <si>
    <t>15000/290</t>
  </si>
  <si>
    <t>Botol/Kg</t>
  </si>
  <si>
    <t>Jati Mangun Putra</t>
  </si>
  <si>
    <t>Dewi Jaya</t>
  </si>
  <si>
    <t>100/70</t>
  </si>
  <si>
    <t>Kampungbaru</t>
  </si>
  <si>
    <t xml:space="preserve">Warno </t>
  </si>
  <si>
    <t>Demangan</t>
  </si>
  <si>
    <t>Rahayu Dua</t>
  </si>
  <si>
    <t>220/115</t>
  </si>
  <si>
    <t>Sinar Jeporo</t>
  </si>
  <si>
    <t>398/46</t>
  </si>
  <si>
    <t xml:space="preserve">HDR </t>
  </si>
  <si>
    <t>Restu</t>
  </si>
  <si>
    <t>Suheri</t>
  </si>
  <si>
    <t>SHB</t>
  </si>
  <si>
    <t>Kerajinan Aluminium</t>
  </si>
  <si>
    <t>Gadjah Yana</t>
  </si>
  <si>
    <t>Roti Kering</t>
  </si>
  <si>
    <t>Karya Mulya</t>
  </si>
  <si>
    <t>Musbi</t>
  </si>
  <si>
    <t>Sambirejo</t>
  </si>
  <si>
    <t>Mino Nugroho</t>
  </si>
  <si>
    <t>7,5</t>
  </si>
  <si>
    <t>Jl. Ciptomangunkusumo 2</t>
  </si>
  <si>
    <t>Mariana</t>
  </si>
  <si>
    <t>Ngliman</t>
  </si>
  <si>
    <t>Sumarno</t>
  </si>
  <si>
    <t>kg</t>
  </si>
  <si>
    <t>Sari Daun</t>
  </si>
  <si>
    <t>Koripan</t>
  </si>
  <si>
    <t>Azis</t>
  </si>
  <si>
    <t>Subur Jati</t>
  </si>
  <si>
    <t>Pinggir</t>
  </si>
  <si>
    <t>Dwi Agro Manunggal</t>
  </si>
  <si>
    <t>Barokah Unggul Jaya PR</t>
  </si>
  <si>
    <t>21 Mei 2010</t>
  </si>
  <si>
    <t>Kencono Wungu Grafis</t>
  </si>
  <si>
    <t>Baru Motor</t>
  </si>
  <si>
    <t>Jl. Bromo 11</t>
  </si>
  <si>
    <t>Tanto Utomo</t>
  </si>
  <si>
    <t>Karya Bhakti Utama</t>
  </si>
  <si>
    <t>Rak Obat</t>
  </si>
  <si>
    <t>Yasjfien</t>
  </si>
  <si>
    <t>Sumbersono</t>
  </si>
  <si>
    <t>Podo Trisno</t>
  </si>
  <si>
    <t>Jl. Letjen Sudibyo 22</t>
  </si>
  <si>
    <t>Toga Mulia</t>
  </si>
  <si>
    <t>Gebangkerep</t>
  </si>
  <si>
    <t>Prayogo</t>
  </si>
  <si>
    <t>Jl. Barito 25</t>
  </si>
  <si>
    <t>Bina Tani</t>
  </si>
  <si>
    <t>Pupuk Alam</t>
  </si>
  <si>
    <t>Mojorembun</t>
  </si>
  <si>
    <t>Legowo</t>
  </si>
  <si>
    <t>Mitta</t>
  </si>
  <si>
    <t>Nglawak</t>
  </si>
  <si>
    <t>Eka Sari</t>
  </si>
  <si>
    <t>ton</t>
  </si>
  <si>
    <t>Garu</t>
  </si>
  <si>
    <t>Universal (Bakpia)</t>
  </si>
  <si>
    <t>Sejahtera</t>
  </si>
  <si>
    <t>Sidorejo</t>
  </si>
  <si>
    <t>Putra Tunggal Persada</t>
  </si>
  <si>
    <t>AMDK</t>
  </si>
  <si>
    <t>Galon</t>
  </si>
  <si>
    <t>Jl.Merdeka Timur 12</t>
  </si>
  <si>
    <t>Barokah Abadi Record</t>
  </si>
  <si>
    <t>Unggul Lumbung Mas PR</t>
  </si>
  <si>
    <t>4 Nopember 2009</t>
  </si>
  <si>
    <t>Yuhana Tanjung</t>
  </si>
  <si>
    <t>Cendana Agung</t>
  </si>
  <si>
    <t>Agrindo Nusantara</t>
  </si>
  <si>
    <t>Pupuk</t>
  </si>
  <si>
    <t>Dipoyono 14</t>
  </si>
  <si>
    <t>Langgeng Jaya Makmur PT</t>
  </si>
  <si>
    <t>PT</t>
  </si>
  <si>
    <t>Tekenglagahan</t>
  </si>
  <si>
    <t>Kedung Agung Iso Jaya PR</t>
  </si>
  <si>
    <t>Jl. P. Sudirman I/3</t>
  </si>
  <si>
    <t>Jati Sari</t>
  </si>
  <si>
    <t>Jl. P. Sudirman 199</t>
  </si>
  <si>
    <t>Jamu Tradisional Hitam-hitam</t>
  </si>
  <si>
    <t>Wiji</t>
  </si>
  <si>
    <t>Citra Abadi</t>
  </si>
  <si>
    <t>Putra Mandiri</t>
  </si>
  <si>
    <t>Sidomulyo Makmur</t>
  </si>
  <si>
    <t>Nilam Selatan</t>
  </si>
  <si>
    <t>Nilam Sari</t>
  </si>
  <si>
    <t>Ngepung</t>
  </si>
  <si>
    <t>Surya Mebelair</t>
  </si>
  <si>
    <t xml:space="preserve">Kepanjen </t>
  </si>
  <si>
    <t>Panji Makmur PR</t>
  </si>
  <si>
    <t>7 Oktober 2009</t>
  </si>
  <si>
    <t>Waung</t>
  </si>
  <si>
    <t>Tanjungkalang</t>
  </si>
  <si>
    <t>Bintang Asri</t>
  </si>
  <si>
    <t>Batu Alam</t>
  </si>
  <si>
    <t>Pacekulon</t>
  </si>
  <si>
    <t>Risvanda</t>
  </si>
  <si>
    <t>Bangsri</t>
  </si>
  <si>
    <t>Mitra Karya Sejahtera</t>
  </si>
  <si>
    <t>Link. Kujonmanis</t>
  </si>
  <si>
    <t>Gajah</t>
  </si>
  <si>
    <t>KH. Wakhid Hasyim 3</t>
  </si>
  <si>
    <t>Terang Fajar Utama</t>
  </si>
  <si>
    <t>Set</t>
  </si>
  <si>
    <t>Antariksa</t>
  </si>
  <si>
    <t>Satria Jaya</t>
  </si>
  <si>
    <t>Garam</t>
  </si>
  <si>
    <t>Wilis</t>
  </si>
  <si>
    <t>Semi</t>
  </si>
  <si>
    <t>An Nur</t>
  </si>
  <si>
    <t>Indhera Mega Perkasa</t>
  </si>
  <si>
    <t>Kerajinan Bambu</t>
  </si>
  <si>
    <t>Jl. Langsep 19</t>
  </si>
  <si>
    <t>Wisnu</t>
  </si>
  <si>
    <t>Kartini PR</t>
  </si>
  <si>
    <t>Langgeng Jati</t>
  </si>
  <si>
    <t xml:space="preserve">Gg. Mawar </t>
  </si>
  <si>
    <t>Putra Jadi</t>
  </si>
  <si>
    <t>Banjaranyar</t>
  </si>
  <si>
    <t>Konveksi Sinar Jaya</t>
  </si>
  <si>
    <t>Konveksi</t>
  </si>
  <si>
    <t>Citra Givsum</t>
  </si>
  <si>
    <t>Gipsum</t>
  </si>
  <si>
    <t>Riobell</t>
  </si>
  <si>
    <t>Usaha Mandiri</t>
  </si>
  <si>
    <t>Perning</t>
  </si>
  <si>
    <t>Jatikalen</t>
  </si>
  <si>
    <t>Tiamo</t>
  </si>
  <si>
    <t>Bina Karya Mebelair</t>
  </si>
  <si>
    <t>Jati Songo</t>
  </si>
  <si>
    <t>Dwi Putri</t>
  </si>
  <si>
    <t>Abadi Puri Mulyo PR</t>
  </si>
  <si>
    <t>21 Juni 2010</t>
  </si>
  <si>
    <t>Kapas</t>
  </si>
  <si>
    <t>Raja Elang</t>
  </si>
  <si>
    <t>Gadung 14</t>
  </si>
  <si>
    <t>Sarana Tiara Mebel</t>
  </si>
  <si>
    <t>Jl. Bengawan Solo III/4</t>
  </si>
  <si>
    <t>Marhaendri</t>
  </si>
  <si>
    <t>Al Hikmah</t>
  </si>
  <si>
    <t xml:space="preserve">Kopi Bubuk, Susu </t>
  </si>
  <si>
    <t>7500; 27000</t>
  </si>
  <si>
    <t>Kg;Ltr</t>
  </si>
  <si>
    <t>Kembang Jati</t>
  </si>
  <si>
    <t>Jl. Kapt. Tendean V/11</t>
  </si>
  <si>
    <t>Mata Air</t>
  </si>
  <si>
    <t>RT 2 RW 1 Ds. Mungkung Papungan</t>
  </si>
  <si>
    <t>UD Sari Murni</t>
  </si>
  <si>
    <t>Tempe</t>
  </si>
  <si>
    <t>24 Pebruari 2009</t>
  </si>
  <si>
    <t>Ds. Ngetos RT 6 RW 1</t>
  </si>
  <si>
    <t>UD Arr Rahmah Collection</t>
  </si>
  <si>
    <t>Ds. Sumengko RT 2 RW 1</t>
  </si>
  <si>
    <t>UD Agwin Cock</t>
  </si>
  <si>
    <t>Grojokan</t>
  </si>
  <si>
    <t>UD Jati Sri Rejeki</t>
  </si>
  <si>
    <t>27 Pebruari 2009</t>
  </si>
  <si>
    <t>Ds. Sumengko RT 1 RW 2</t>
  </si>
  <si>
    <t>UD Bintang Sport</t>
  </si>
  <si>
    <t>23 Maret 2009</t>
  </si>
  <si>
    <t>Ds. Klodan RT 3 RW 7</t>
  </si>
  <si>
    <t>UD Hamam Putra</t>
  </si>
  <si>
    <t>27 Maret 2009</t>
  </si>
  <si>
    <t>Ds. Ngrami</t>
  </si>
  <si>
    <t>CV Multi Tunas Mandiri</t>
  </si>
  <si>
    <t>pupuk organik</t>
  </si>
  <si>
    <t>Ds. Margopatut</t>
  </si>
  <si>
    <t>UD Andika Sari</t>
  </si>
  <si>
    <t>30 Maret 2009</t>
  </si>
  <si>
    <t>Ds. Dukuhan Kuncir</t>
  </si>
  <si>
    <t>PR Preng Kuneng</t>
  </si>
  <si>
    <t>15 Juni 2009</t>
  </si>
  <si>
    <t>Ds. Tungkur Ngadipiro</t>
  </si>
  <si>
    <t>Wilangan</t>
  </si>
  <si>
    <t>UD Kerja Sama</t>
  </si>
  <si>
    <t>17 Juni 2009</t>
  </si>
  <si>
    <t>Ds. Miren Sidoharjo</t>
  </si>
  <si>
    <t>CV Jayeng Rono</t>
  </si>
  <si>
    <t>Jl.Diponegoro VI/7,Ganingkidul</t>
  </si>
  <si>
    <t>UD Memory</t>
  </si>
  <si>
    <t>Ds. Sombron RT 1 RW 2</t>
  </si>
  <si>
    <t>UD Rizky Agung</t>
  </si>
  <si>
    <t>15 Juli 2009</t>
  </si>
  <si>
    <t>Ds. Sekar putih</t>
  </si>
  <si>
    <t>UD Gunung Mulia</t>
  </si>
  <si>
    <t>24 Juli 2009</t>
  </si>
  <si>
    <t>Ds. Kemukus Ngliman</t>
  </si>
  <si>
    <t>UD Sendang Sari</t>
  </si>
  <si>
    <t>10 Agustus 2009</t>
  </si>
  <si>
    <t>Ds. Warujayeng</t>
  </si>
  <si>
    <t>UD Atma Jaya</t>
  </si>
  <si>
    <t>Gedangklutuk,RT 3 RW 4</t>
  </si>
  <si>
    <t>UD Harapan Madu Jaya</t>
  </si>
  <si>
    <t>Ds. Sumengko</t>
  </si>
  <si>
    <t>UD Abadi Shuttlecock</t>
  </si>
  <si>
    <t>Ds. Kapas</t>
  </si>
  <si>
    <t>Wilis Tailor &amp; Konveksi</t>
  </si>
  <si>
    <t>potong</t>
  </si>
  <si>
    <t>UD Ridho Riszki</t>
  </si>
  <si>
    <t>Ds. Batu Margopatut</t>
  </si>
  <si>
    <t>UD KARYA MANDIRI</t>
  </si>
  <si>
    <t>Ds. Badingin Sukorejo</t>
  </si>
  <si>
    <t>UD Nusa</t>
  </si>
  <si>
    <t>7 Oktopber 2009</t>
  </si>
  <si>
    <t>Ds. Semek Bukur</t>
  </si>
  <si>
    <t>UD Sinar Harapan</t>
  </si>
  <si>
    <t>21 Oktober 2009</t>
  </si>
  <si>
    <t>Jl.P.Sudirman 170,Mangundikaran,</t>
  </si>
  <si>
    <t>UD Putra Cipta</t>
  </si>
  <si>
    <t>9 Nopember 2009</t>
  </si>
  <si>
    <t>Ds. Candirejo</t>
  </si>
  <si>
    <t>CV Anugrah Jaya Subur</t>
  </si>
  <si>
    <t>18 Nopember 2009</t>
  </si>
  <si>
    <t>Ds. Mangundikaran</t>
  </si>
  <si>
    <t>Toko Tani Jaya</t>
  </si>
  <si>
    <t>pengemasan perekat pupuk</t>
  </si>
  <si>
    <t>24 Nopember 2009</t>
  </si>
  <si>
    <t>Ds. Bagorkulon</t>
  </si>
  <si>
    <t>UD Konveksi</t>
  </si>
  <si>
    <t>3 Desember 2009</t>
  </si>
  <si>
    <t>Ds. Kampungbaru</t>
  </si>
  <si>
    <t>Rizky Putra Wood Art &amp; Souvenir Ind</t>
  </si>
  <si>
    <t>kerajinan tangan</t>
  </si>
  <si>
    <t>8 Desember 2009</t>
  </si>
  <si>
    <t>Perum Pondok Kencana D/2,Werungotok</t>
  </si>
  <si>
    <t>UD Makmur</t>
  </si>
  <si>
    <t>Pengemasan MSG</t>
  </si>
  <si>
    <t>kwintal</t>
  </si>
  <si>
    <t>17 Desember 2009</t>
  </si>
  <si>
    <t>Ds. Lestari</t>
  </si>
  <si>
    <t>Kue Ku</t>
  </si>
  <si>
    <t>29 Desember 2009</t>
  </si>
  <si>
    <t>Ds.Selorejo</t>
  </si>
  <si>
    <t>CV Makmur Jaya</t>
  </si>
  <si>
    <t>Ds. Tanjungkalang</t>
  </si>
  <si>
    <t>CV Dhamma jaya Abadi</t>
  </si>
  <si>
    <t>27 Oktober 2009</t>
  </si>
  <si>
    <t>Jl. Hos Cokroaminoto 2 Kauman</t>
  </si>
  <si>
    <t>CV Mitra Sahajaya</t>
  </si>
  <si>
    <t>16 Desember 2009</t>
  </si>
  <si>
    <t>Ds. Sukoharjo RT 19 RW 9</t>
  </si>
  <si>
    <t>UD FIT Furniture</t>
  </si>
  <si>
    <t>furnitur (Bantal guling, Kasur dan Mebeler)</t>
  </si>
  <si>
    <t>180.000.000</t>
  </si>
  <si>
    <t>7 januari 2008</t>
  </si>
  <si>
    <t xml:space="preserve">Jl. Barito 108,Begadung </t>
  </si>
  <si>
    <t>UD Jati Noor</t>
  </si>
  <si>
    <t>10 Pebruari 2009</t>
  </si>
  <si>
    <t>Sudimoroharjo,</t>
  </si>
  <si>
    <t>UD Jati Murni</t>
  </si>
  <si>
    <t>16 Pebruari 2009</t>
  </si>
  <si>
    <t>UD Karya Usaha Indah</t>
  </si>
  <si>
    <t>Ds. Sukoharjo</t>
  </si>
  <si>
    <t>UD Puji Lestari</t>
  </si>
  <si>
    <t>20 Maret 2009</t>
  </si>
  <si>
    <t>Dsn Jagong</t>
  </si>
  <si>
    <t>UD Langgeng</t>
  </si>
  <si>
    <t>18 Juni 2009</t>
  </si>
  <si>
    <t>Ds. Tampag</t>
  </si>
  <si>
    <t>UD Jati Karya</t>
  </si>
  <si>
    <t>Burung Merpati PR</t>
  </si>
  <si>
    <t>31 Juli 2009</t>
  </si>
  <si>
    <t>Jatigreges</t>
  </si>
  <si>
    <t>Kota Angin PR</t>
  </si>
  <si>
    <t>Jl. Semeru 109,Sukorejo</t>
  </si>
  <si>
    <t>UD Almina</t>
  </si>
  <si>
    <t>26 Agustus 2009</t>
  </si>
  <si>
    <t>Jl.Letjen Suprapto 5,Kudu</t>
  </si>
  <si>
    <t>SANGGAR UKIR KUDU</t>
  </si>
  <si>
    <t>Kerajinan ukir kayu</t>
  </si>
  <si>
    <t>7 Januari 2010</t>
  </si>
  <si>
    <t>UD REXA POLYMER PERKASA</t>
  </si>
  <si>
    <t>5 Pebruari 2010</t>
  </si>
  <si>
    <t>Jenangan,RT 1 RW 6,Margopatut</t>
  </si>
  <si>
    <t>UD MARGO INDAH</t>
  </si>
  <si>
    <t>Pugruk,Tanjungrejo</t>
  </si>
  <si>
    <t>UD BAROKAH</t>
  </si>
  <si>
    <t>slop shuttlecock</t>
  </si>
  <si>
    <t>biji</t>
  </si>
  <si>
    <t>Jl.Bengawan Solo,Ringinanom,</t>
  </si>
  <si>
    <t>CV MANSURIN</t>
  </si>
  <si>
    <t>Pengemasan Oli</t>
  </si>
  <si>
    <t>3 Pebruari 2010</t>
  </si>
  <si>
    <t>Dsn.Grompol,Tanjungtani</t>
  </si>
  <si>
    <t>UD SAFA'AT</t>
  </si>
  <si>
    <t>Kantong plastik</t>
  </si>
  <si>
    <t>23 februari 2010</t>
  </si>
  <si>
    <t>Jl.Gubernur Suryo I No. 3,Kauman</t>
  </si>
  <si>
    <t>UD SURYA JAYA GROUP</t>
  </si>
  <si>
    <t>23 Februari 2010</t>
  </si>
  <si>
    <t>Dsn.Duwel,Jegreg</t>
  </si>
  <si>
    <t>UD GAYUH PUTRA MANDIRI</t>
  </si>
  <si>
    <t>1 Maret 2010</t>
  </si>
  <si>
    <t>Jl. Megantoro 8</t>
  </si>
  <si>
    <t>CV BONUS</t>
  </si>
  <si>
    <t>Rambu lalin &amp; cat marka</t>
  </si>
  <si>
    <t xml:space="preserve">75 buah, 50 ton </t>
  </si>
  <si>
    <t>11 Maret 2010</t>
  </si>
  <si>
    <t>Dsn.Semek,RT 1 RW 2,Bukur</t>
  </si>
  <si>
    <t>UD RINDANG MAKMUR</t>
  </si>
  <si>
    <t>22 Maret 2010</t>
  </si>
  <si>
    <t>Jl.Gotong royong,Ds.Babadan</t>
  </si>
  <si>
    <t>RIZKA RISWANA MEBEL</t>
  </si>
  <si>
    <t>23 Maret 2010</t>
  </si>
  <si>
    <t>Tremas,ngepung</t>
  </si>
  <si>
    <t>UD RIDHO SAHABAT</t>
  </si>
  <si>
    <t>Jl.Alpokat,Mlandangan,</t>
  </si>
  <si>
    <t>RUKUN SENTOSA MEBEL</t>
  </si>
  <si>
    <t>Dsn. Sumbertumpeng,Margopatut</t>
  </si>
  <si>
    <t>CV LEMBAH HARUM</t>
  </si>
  <si>
    <t>5 April 2010</t>
  </si>
  <si>
    <t>Sudimoroharjo</t>
  </si>
  <si>
    <t>UD BERINGIN SAKTI</t>
  </si>
  <si>
    <t>7 April 2010</t>
  </si>
  <si>
    <t>Dsn.Semek kerep,Bukur</t>
  </si>
  <si>
    <t>UD WARAS BAROKAH</t>
  </si>
  <si>
    <t>Perum Candirejo Blok.GG/10,Gejagan</t>
  </si>
  <si>
    <t>BATIK NUSANTARA INDAH</t>
  </si>
  <si>
    <t>Batik Tulis</t>
  </si>
  <si>
    <t>m</t>
  </si>
  <si>
    <t>14 April 2010</t>
  </si>
  <si>
    <t>MEUBEL JEPARA INDAH</t>
  </si>
  <si>
    <t>21 April 2010</t>
  </si>
  <si>
    <t>Dsn.Beran,Tanjungrejo</t>
  </si>
  <si>
    <t>UD ADI RAYA MEUBEL</t>
  </si>
  <si>
    <t>22 April 2010</t>
  </si>
  <si>
    <t>UD RESTU MEUBEL</t>
  </si>
  <si>
    <t>Dsn. Bulak,Tirtobinangun</t>
  </si>
  <si>
    <t>UD LINTAR JAYA</t>
  </si>
  <si>
    <t>3 Mei 2010</t>
  </si>
  <si>
    <t>CV BAROKAH ABADI JAYA</t>
  </si>
  <si>
    <t>Pecah batu</t>
  </si>
  <si>
    <t>Ds. / Kec. Sawahan</t>
  </si>
  <si>
    <t>UD PANGAN SARI</t>
  </si>
  <si>
    <t>RT 02 RW 06, Kel./ Kec. Sukomoro</t>
  </si>
  <si>
    <t>CV ARTY MANUNGGAL</t>
  </si>
  <si>
    <t>lembar</t>
  </si>
  <si>
    <t>17 Mei 2010</t>
  </si>
  <si>
    <t>Jl. Sutoyo, Dsn. Ngelon</t>
  </si>
  <si>
    <t>CV SUMBER REJEKI JAYA</t>
  </si>
  <si>
    <t>buah</t>
  </si>
  <si>
    <t>19 Mei 2010</t>
  </si>
  <si>
    <t>Ds. Paron</t>
  </si>
  <si>
    <t>CV RIDHO ILLAHI</t>
  </si>
  <si>
    <t>Pojok Tanjung Kalang</t>
  </si>
  <si>
    <t>UD PESONA KARYA</t>
  </si>
  <si>
    <t xml:space="preserve">Dsn. Barik, Ds. Betet </t>
  </si>
  <si>
    <t>UD AVIS MEBEL</t>
  </si>
  <si>
    <t xml:space="preserve">Jl. Jaya Putra RT 06 RW 03 Bagor </t>
  </si>
  <si>
    <t>UD ANGGA</t>
  </si>
  <si>
    <t>Telur Asin</t>
  </si>
  <si>
    <t>4 Juni 2010</t>
  </si>
  <si>
    <t xml:space="preserve">Jl. Sumatra, Dsn. Pesantren RT 11 </t>
  </si>
  <si>
    <t>UD ARGO FAJAR TAMMA</t>
  </si>
  <si>
    <t>Jamur &amp; baclog</t>
  </si>
  <si>
    <t>Jl. Sumatra RT 11 RW 04, Ds. Bodor</t>
  </si>
  <si>
    <t>UD MURNI JAYA</t>
  </si>
  <si>
    <t>Sosis mie</t>
  </si>
  <si>
    <t>Jl. Sumatra, Dsn. Pesantren Ds. Bodor</t>
  </si>
  <si>
    <t>DIAN JAYA BAKERY</t>
  </si>
  <si>
    <t>Bakery</t>
  </si>
  <si>
    <t>Ds.candirejo</t>
  </si>
  <si>
    <t>loceret</t>
  </si>
  <si>
    <t>UD BERSAMA SUBUR</t>
  </si>
  <si>
    <t>Dsn. Balongasem RT 01 RW 06</t>
  </si>
  <si>
    <t>UD INDAH JAYA</t>
  </si>
  <si>
    <t>15 Juli 2010</t>
  </si>
  <si>
    <t>Jl. Empu Sendok, Ds. Candirejo</t>
  </si>
  <si>
    <t>UD MAHARDIKA JAYA ABADI</t>
  </si>
  <si>
    <t>Barang bekas</t>
  </si>
  <si>
    <t>4 Agustus 2010</t>
  </si>
  <si>
    <t>Jl. Merapi 48, Ds. Sukorejo</t>
  </si>
  <si>
    <t>PLANET DESIGN</t>
  </si>
  <si>
    <t>rim</t>
  </si>
  <si>
    <t>10 Agustus 2010</t>
  </si>
  <si>
    <t>Dsn. Lobeserbarat No. 63</t>
  </si>
  <si>
    <t>UD SUMBER JAYA</t>
  </si>
  <si>
    <t>Ds. Salamrojo</t>
  </si>
  <si>
    <t>UD KURNIA ABADI</t>
  </si>
  <si>
    <t>12 Agustus 2010</t>
  </si>
  <si>
    <t>Ds. Bajang</t>
  </si>
  <si>
    <t>UD EKA DEWI LESTARI</t>
  </si>
  <si>
    <t>set</t>
  </si>
  <si>
    <t>20 Agustus 2010</t>
  </si>
  <si>
    <t>Ds.Ngrawan</t>
  </si>
  <si>
    <t>UD EKA JAYA</t>
  </si>
  <si>
    <t>3 September 2010</t>
  </si>
  <si>
    <t xml:space="preserve">Ds. Pandantoyo </t>
  </si>
  <si>
    <t>ZAKKY SABLON &amp; KONVEKSI</t>
  </si>
  <si>
    <t>7 September 2010</t>
  </si>
  <si>
    <t xml:space="preserve">Ds. Sonoageng </t>
  </si>
  <si>
    <t>LUDHI TENUN</t>
  </si>
  <si>
    <t>Sarung, Kain tenun</t>
  </si>
  <si>
    <t>kodi</t>
  </si>
  <si>
    <t>Dsn. Bulu Ds. Keputren</t>
  </si>
  <si>
    <t>Lamijan</t>
  </si>
  <si>
    <t>Keripik</t>
  </si>
  <si>
    <t>Ds. Nglaban</t>
  </si>
  <si>
    <t>Mangga Dua</t>
  </si>
  <si>
    <t>Dsn. Sekarputih Ds. Putren</t>
  </si>
  <si>
    <t>Sanur</t>
  </si>
  <si>
    <t>Ganung Asri D 13</t>
  </si>
  <si>
    <t>Aris Art Promo</t>
  </si>
  <si>
    <t>Kerajinan tempurung</t>
  </si>
  <si>
    <t>Ds. Sambirejo</t>
  </si>
  <si>
    <t>Sanggar Busana "WAHYU"</t>
  </si>
  <si>
    <t>Ds. Garu</t>
  </si>
  <si>
    <t>Sugiono</t>
  </si>
  <si>
    <t>Wayang kayu</t>
  </si>
  <si>
    <t>KUB TARUNA BAKTI</t>
  </si>
  <si>
    <t>Handycraft</t>
  </si>
  <si>
    <t>Ds. Ngrengket</t>
  </si>
  <si>
    <t>Sukadi</t>
  </si>
  <si>
    <t>Arang kayu mangga</t>
  </si>
  <si>
    <t>Jl. Gunung Kelud, Ds. Banaran</t>
  </si>
  <si>
    <t>UD DUA PUTRA JAYA</t>
  </si>
  <si>
    <t>Mebeler</t>
  </si>
  <si>
    <t>Dsn. Kebun Agung, Ds. Sumberkepuh</t>
  </si>
  <si>
    <t>UD SHA-SHA</t>
  </si>
  <si>
    <t>Dsn. Gebangayu, Ds. Kedungdowo</t>
  </si>
  <si>
    <t>UD KEDUNG GALING</t>
  </si>
  <si>
    <t xml:space="preserve">Arang kayu </t>
  </si>
  <si>
    <t>Ds.Tempelwetan</t>
  </si>
  <si>
    <t>Penggergajian kayu</t>
  </si>
  <si>
    <t>Dsn. Gambirejo, Kel. Warujayeng</t>
  </si>
  <si>
    <t>UD FAIZ MEUBEL</t>
  </si>
  <si>
    <t>Mebel</t>
  </si>
  <si>
    <t>unit</t>
  </si>
  <si>
    <t>Dsn. Sanggrahan, Ds. Nglaban</t>
  </si>
  <si>
    <t>UD JATI MULYO</t>
  </si>
  <si>
    <t>Ds. Kedungrejo</t>
  </si>
  <si>
    <t>UD SUMBER SEHAT</t>
  </si>
  <si>
    <t>Sabun mandi</t>
  </si>
  <si>
    <t>Dsn. Gedangklutuk, Ds. Sawahan</t>
  </si>
  <si>
    <t>UD HIJAU DAUN</t>
  </si>
  <si>
    <t>Jl. Raden Wijaya, Kel. Ploso</t>
  </si>
  <si>
    <t>UD ASSYAJAR</t>
  </si>
  <si>
    <t>Ds. Bareng</t>
  </si>
  <si>
    <t>BENGKEL NILAM SARI</t>
  </si>
  <si>
    <t>Tangki logam</t>
  </si>
  <si>
    <t>Dsn. Sumbersari Ds. Mojokendil</t>
  </si>
  <si>
    <t>SARI RASA</t>
  </si>
  <si>
    <t xml:space="preserve">Roti </t>
  </si>
  <si>
    <t>Ds. Mlorah</t>
  </si>
  <si>
    <t>PR. DJODI PATI</t>
  </si>
  <si>
    <t>batang</t>
  </si>
  <si>
    <t>Ds. Kaloran</t>
  </si>
  <si>
    <t>UD WISMA AGUNG</t>
  </si>
  <si>
    <t>Ds. Mojokendil</t>
  </si>
  <si>
    <t>ASSIFA</t>
  </si>
  <si>
    <t>Bawang merah goreng</t>
  </si>
  <si>
    <t>Jl. Kalimantan Ds. Bodor</t>
  </si>
  <si>
    <t>UD MANDIRI</t>
  </si>
  <si>
    <t>Ds. Joho</t>
  </si>
  <si>
    <t>UD WISNU SEJAHTERA</t>
  </si>
  <si>
    <t>Ds. Patranrejo</t>
  </si>
  <si>
    <t>UD KARYA USAHA BERSAMA</t>
  </si>
  <si>
    <t>Ds. Oro-oro Ombo</t>
  </si>
  <si>
    <t>UD DEWI MAKMUR</t>
  </si>
  <si>
    <t>Ds. Jatipunggur</t>
  </si>
  <si>
    <t>UD MITRA USAHA</t>
  </si>
  <si>
    <t>Ds. Tekenglagahan</t>
  </si>
  <si>
    <t>UD KRUPUK BAROKAH</t>
  </si>
  <si>
    <t>Ds. Gemenggeng</t>
  </si>
  <si>
    <t>PR. TRI BAKTI</t>
  </si>
  <si>
    <t>Ds. Demangan</t>
  </si>
  <si>
    <t>UD WIJAYA</t>
  </si>
  <si>
    <t>Arang</t>
  </si>
  <si>
    <t>Jl. Wilis 1B No. 12, Kel. Ganungkidul</t>
  </si>
  <si>
    <t>SARI RASA 08</t>
  </si>
  <si>
    <t>Ds. Bagorwetan</t>
  </si>
  <si>
    <t>UD ANDIKA JATI INDAH (AJI)</t>
  </si>
  <si>
    <t>Dsn. Jatisari, Ds. Jatipunggur</t>
  </si>
  <si>
    <t>UD MEKAR SARI</t>
  </si>
  <si>
    <t>Ds. Gondangkulon</t>
  </si>
  <si>
    <t>UD JATI INTAN</t>
  </si>
  <si>
    <t>Dsn. Mindi RT 05 RW 01, Ds. Kelutan</t>
  </si>
  <si>
    <t>UD SUMBER SLAMET</t>
  </si>
  <si>
    <t>Ds. Lengkok RT 11 RW 06</t>
  </si>
  <si>
    <t>UD SINAR JAYA</t>
  </si>
  <si>
    <t>Dukuh Kuniran, Ds. Jekek</t>
  </si>
  <si>
    <t>Ali Maskur</t>
  </si>
  <si>
    <t>Yati</t>
  </si>
  <si>
    <t>Dukuh Sumur pandan, Ds. Jekek</t>
  </si>
  <si>
    <t>Moh. Toha Maksum</t>
  </si>
  <si>
    <t>Ds. Kedungmlaten</t>
  </si>
  <si>
    <t>Sadjianto</t>
  </si>
  <si>
    <t>keripik</t>
  </si>
  <si>
    <t>Ds. Ngringin</t>
  </si>
  <si>
    <t>Bajuri</t>
  </si>
  <si>
    <t>Ds. Babadan</t>
  </si>
  <si>
    <t>KARIM GROUP</t>
  </si>
  <si>
    <t>Dukuh Pandansili Ds. Kweden</t>
  </si>
  <si>
    <t>Sobiri</t>
  </si>
  <si>
    <t>Plafont Gipsum</t>
  </si>
  <si>
    <t>Ds. Nglinggo</t>
  </si>
  <si>
    <t>Aulia Abadi</t>
  </si>
  <si>
    <t>Nasi jagung instan</t>
  </si>
  <si>
    <t>UD Sri Rejeki</t>
  </si>
  <si>
    <t>Dsn. Putuk Ds. Sawahan</t>
  </si>
  <si>
    <t>Suluh</t>
  </si>
  <si>
    <t>Dsn. Templek Ds. Jatirejo</t>
  </si>
  <si>
    <t>Atin</t>
  </si>
  <si>
    <t>Wingko</t>
  </si>
  <si>
    <t>box</t>
  </si>
  <si>
    <t>Ds. Ngliman</t>
  </si>
  <si>
    <t>Dwi Indarti</t>
  </si>
  <si>
    <t>Minuman sari bunga mawar</t>
  </si>
  <si>
    <t>Ds. Jatirejo</t>
  </si>
  <si>
    <t>Sugiarto</t>
  </si>
  <si>
    <t>Minuman mint</t>
  </si>
  <si>
    <t>botol</t>
  </si>
  <si>
    <t>Ds. Sendangbumen</t>
  </si>
  <si>
    <t>Suroton</t>
  </si>
  <si>
    <t>Ds. Malangsari</t>
  </si>
  <si>
    <t>Suyono</t>
  </si>
  <si>
    <t>Sunarto</t>
  </si>
  <si>
    <t>Dukuh Meranggo Ds. Malangsari</t>
  </si>
  <si>
    <t>Sutrisno</t>
  </si>
  <si>
    <t>Ds. Sukomoro</t>
  </si>
  <si>
    <t>Markamah</t>
  </si>
  <si>
    <t>Handoko</t>
  </si>
  <si>
    <t>Susu kedelai</t>
  </si>
  <si>
    <t>Jl. Wilis Kel. Jarakan</t>
  </si>
  <si>
    <t>Budi</t>
  </si>
  <si>
    <t>krupuk samier</t>
  </si>
  <si>
    <t>Kel. Werungotok</t>
  </si>
  <si>
    <t>Ibu Sahid</t>
  </si>
  <si>
    <t>krupuk peyek kacang</t>
  </si>
  <si>
    <t>Kel. Begadung</t>
  </si>
  <si>
    <t>Slamet</t>
  </si>
  <si>
    <t>Marsaid</t>
  </si>
  <si>
    <t>Suwito</t>
  </si>
  <si>
    <t>Darmanto</t>
  </si>
  <si>
    <t>tempe</t>
  </si>
  <si>
    <t>Takcip</t>
  </si>
  <si>
    <t>Suprihatin</t>
  </si>
  <si>
    <t>Sukaji</t>
  </si>
  <si>
    <t>Jl. Jurusan Gondang, Ds. Sukomoro</t>
  </si>
  <si>
    <t>SRIKANDI</t>
  </si>
  <si>
    <t>Konveksi baju</t>
  </si>
  <si>
    <t>Dsn. Bendungan Ds. Kedungrejo</t>
  </si>
  <si>
    <t>UD SEMPULUR</t>
  </si>
  <si>
    <t>Penggilingan padi</t>
  </si>
  <si>
    <t>Dsn. Karangtengah Ds. Plosoharjo</t>
  </si>
  <si>
    <t>Saji</t>
  </si>
  <si>
    <t>Dsn. Jegles Ds. Plosoharjo</t>
  </si>
  <si>
    <t>UD AGUNG JAYA</t>
  </si>
  <si>
    <t>Kayu glugu</t>
  </si>
  <si>
    <t>truck</t>
  </si>
  <si>
    <t>Dsn. Jatirejo Ds. Kapas</t>
  </si>
  <si>
    <t>Suparno</t>
  </si>
  <si>
    <t>Ds. Mojorembum</t>
  </si>
  <si>
    <t>UD DEWI SRI</t>
  </si>
  <si>
    <t>Beras</t>
  </si>
  <si>
    <t>Dsn. Bulurejo Ds. Mojorembum</t>
  </si>
  <si>
    <t>UD MAKMUR</t>
  </si>
  <si>
    <t>Dsn. Balongdringo Ds. Ngrami</t>
  </si>
  <si>
    <t>CV CAHAYA PERMATA</t>
  </si>
  <si>
    <t>Jasa listrik</t>
  </si>
  <si>
    <t>Ds. Pehserut</t>
  </si>
  <si>
    <t>Puryono</t>
  </si>
  <si>
    <t>RPH Malabong BKPH Bagor</t>
  </si>
  <si>
    <t>Penyulingan Minyak Kayu Putih</t>
  </si>
  <si>
    <t>Minyak kayu putih</t>
  </si>
  <si>
    <t>Ds. Sawahan</t>
  </si>
  <si>
    <t>Supadir</t>
  </si>
  <si>
    <t>UD SUMBER AGUNG</t>
  </si>
  <si>
    <t>Dsn. Sidorero Ds. Meko</t>
  </si>
  <si>
    <t>Yuniana</t>
  </si>
  <si>
    <t>Dsn. Sidomulyo Ds. Sidorejo</t>
  </si>
  <si>
    <t>Imam Rosadi, SH</t>
  </si>
  <si>
    <t>Dsn. Sidorejo Ds. Sidorejo</t>
  </si>
  <si>
    <t>UD SARI ALAM</t>
  </si>
  <si>
    <t>UD SRI REJEKI</t>
  </si>
  <si>
    <t>Pengolahan sampah plastik</t>
  </si>
  <si>
    <t>paket</t>
  </si>
  <si>
    <t>Ds. Kecubung</t>
  </si>
  <si>
    <t>UD MORODADI</t>
  </si>
  <si>
    <t>Ds. Mojoagung</t>
  </si>
  <si>
    <t>UD MARGO JATI MULYO</t>
  </si>
  <si>
    <t>Ds. Baleturi</t>
  </si>
  <si>
    <t>UD LESTARI</t>
  </si>
  <si>
    <t>Jagung</t>
  </si>
  <si>
    <t>Jl. Pang.Sudirman 98 Ds. Jetis</t>
  </si>
  <si>
    <t>UD SABAR</t>
  </si>
  <si>
    <t>Dsn. Banyurip Ds. Rejoso</t>
  </si>
  <si>
    <t>Sujoko</t>
  </si>
  <si>
    <t>Ds. Ngangkatan</t>
  </si>
  <si>
    <t>UD SURYA GLASS</t>
  </si>
  <si>
    <t>Kaca ukir</t>
  </si>
  <si>
    <t>m2</t>
  </si>
  <si>
    <t>Dsn. Gambyok Ds. Sawahan</t>
  </si>
  <si>
    <t>UD RIZA DAUN</t>
  </si>
  <si>
    <t>Dsn. Ngliman Ds. Ngliman</t>
  </si>
  <si>
    <t>Pusat Kegiatan Belajar Masyarakat</t>
  </si>
  <si>
    <t>Minuman bunga mawar</t>
  </si>
  <si>
    <t>Gaguk Catur Winardi</t>
  </si>
  <si>
    <t>Ds. Getas</t>
  </si>
  <si>
    <t>Arifin</t>
  </si>
  <si>
    <t>Ds. Ngudikan</t>
  </si>
  <si>
    <t>Suparmin</t>
  </si>
  <si>
    <t>SRI REJEKI</t>
  </si>
  <si>
    <t>UD JATI SUBUR</t>
  </si>
  <si>
    <t>Dsn. Waung Ds. Sukoharjo</t>
  </si>
  <si>
    <t>UD SUMUR GEDE</t>
  </si>
  <si>
    <t>UD MATA AGUNG</t>
  </si>
  <si>
    <t>UD JATI LANGGENG</t>
  </si>
  <si>
    <t>Dsn. Gaeng Ds. Ngudikan</t>
  </si>
  <si>
    <t>Tursina</t>
  </si>
  <si>
    <t>UD JATI RESMI</t>
  </si>
  <si>
    <t>Ds. Rejoso</t>
  </si>
  <si>
    <t>Nonik Catering</t>
  </si>
  <si>
    <t>Kue kering</t>
  </si>
  <si>
    <t>Ds. Bandung</t>
  </si>
  <si>
    <t>Susu Etawa Muda</t>
  </si>
  <si>
    <t>Susu etawa</t>
  </si>
  <si>
    <t>Dsn. Bendo Ds. Demangan</t>
  </si>
  <si>
    <t>CV. ABABIL</t>
  </si>
  <si>
    <t>rumah</t>
  </si>
  <si>
    <t>UD ASLI GATOTKOCO</t>
  </si>
  <si>
    <t>Paving</t>
  </si>
  <si>
    <t>Sumiati</t>
  </si>
  <si>
    <t>Konveksi pakaian, tas</t>
  </si>
  <si>
    <t>Suhendra</t>
  </si>
  <si>
    <t>UD SUMBER REJEKI</t>
  </si>
  <si>
    <t>Ds. Musirkidul</t>
  </si>
  <si>
    <t>Simin</t>
  </si>
  <si>
    <t>Ds. Banjarejo</t>
  </si>
  <si>
    <t>Kasidi</t>
  </si>
  <si>
    <t>Ds. Sambikerep</t>
  </si>
  <si>
    <t>UD BUMI KARYA</t>
  </si>
  <si>
    <t>Ds. Plosoharjo</t>
  </si>
  <si>
    <t>UD SUBUR</t>
  </si>
  <si>
    <t>Bahan bangunan</t>
  </si>
  <si>
    <t>Ds. Ngadirejo</t>
  </si>
  <si>
    <t>Samat</t>
  </si>
  <si>
    <t>slop</t>
  </si>
  <si>
    <t>UD MUSTIKA</t>
  </si>
  <si>
    <t>Khoirul Sholeh</t>
  </si>
  <si>
    <t>Yusno</t>
  </si>
  <si>
    <t>Kasur</t>
  </si>
  <si>
    <t>Dsn. Bagorwetan Ds. Ngrami</t>
  </si>
  <si>
    <t>UD MARGO MAKMUR</t>
  </si>
  <si>
    <t>UD BONANZA SPORT</t>
  </si>
  <si>
    <t>Ds. Balongrejo</t>
  </si>
  <si>
    <t>SEKARJATI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</si>
  <si>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</si>
  <si>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</si>
  <si>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</si>
  <si>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</si>
  <si>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</si>
  <si>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</si>
  <si>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</si>
  <si>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</si>
  <si>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</si>
  <si>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</si>
  <si>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</si>
  <si>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</si>
  <si>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</si>
  <si>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</si>
  <si>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</si>
  <si>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</si>
  <si>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</si>
  <si>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</si>
  <si>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</si>
  <si>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</si>
  <si>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</si>
  <si>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</si>
  <si>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</si>
  <si>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</si>
  <si>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</si>
  <si>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</si>
  <si>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</si>
  <si>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</si>
  <si>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</si>
  <si>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</si>
  <si>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</si>
  <si>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</si>
  <si>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</si>
  <si>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</si>
  <si>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</si>
  <si>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</si>
  <si>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</si>
  <si>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</si>
  <si>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</si>
  <si>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Dsn. Dukuhan, Ds. Tiripan</t>
  </si>
  <si>
    <t>UD PERMATA JATI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</si>
  <si>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</si>
  <si>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</si>
  <si>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</si>
  <si>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</si>
  <si>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</si>
  <si>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</si>
  <si>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</si>
  <si>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Dsn. Kanten, Ds. Tiripan</t>
  </si>
  <si>
    <t>Sadikun</t>
  </si>
  <si>
    <t>Wardi</t>
  </si>
  <si>
    <t>Kayu gelonggong</t>
  </si>
  <si>
    <t>Abdul Rohim</t>
  </si>
  <si>
    <t>Sunoto</t>
  </si>
  <si>
    <t>UD JATI MAKMUR</t>
  </si>
  <si>
    <t>UD SUDIMORO</t>
  </si>
  <si>
    <t>Sarimun</t>
  </si>
  <si>
    <t>Dsn. Tempe, Ds. Patranrejo</t>
  </si>
  <si>
    <t>UD KARYA USAHA</t>
  </si>
  <si>
    <t>Dsn. Tiripan, Ds. Tiripan</t>
  </si>
  <si>
    <t>Wiwik Kasmini</t>
  </si>
  <si>
    <t>Dsn. Karokan, Ds. Tiripan</t>
  </si>
  <si>
    <t>Ariadi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</si>
  <si>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</si>
  <si>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</si>
  <si>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</si>
  <si>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</si>
  <si>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</si>
  <si>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</si>
  <si>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</si>
  <si>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</si>
  <si>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</si>
  <si>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</si>
  <si>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</si>
  <si>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</si>
  <si>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Ds. Watudandang</t>
  </si>
  <si>
    <t>Warna Agung</t>
  </si>
  <si>
    <t>Sumilan</t>
  </si>
  <si>
    <t>Alat pertanian</t>
  </si>
  <si>
    <t>Mustakim</t>
  </si>
  <si>
    <t>Martono</t>
  </si>
  <si>
    <t>Ds. Kebonagung</t>
  </si>
  <si>
    <t>Rianto</t>
  </si>
  <si>
    <t>Mente</t>
  </si>
  <si>
    <t>Musis</t>
  </si>
  <si>
    <t>Lasimin</t>
  </si>
  <si>
    <t>Ds. Duwel</t>
  </si>
  <si>
    <t>KARUNIA</t>
  </si>
  <si>
    <t>Dsn. Duwel, Ds. Sukorejo</t>
  </si>
  <si>
    <t>Taruna Karya Sukorejo</t>
  </si>
  <si>
    <t>Januri</t>
  </si>
  <si>
    <t>Dsn. Santren, Ds. Kapas</t>
  </si>
  <si>
    <t>Sumar</t>
  </si>
  <si>
    <t>Dsn. Kajang, Kel. Bungur</t>
  </si>
  <si>
    <t>Darsi</t>
  </si>
  <si>
    <t>UD SSS</t>
  </si>
  <si>
    <t>UD RIZKY DAUN</t>
  </si>
  <si>
    <t>Subandi</t>
  </si>
  <si>
    <t>Slamet Hariono</t>
  </si>
  <si>
    <t>Mancon - Wilangan</t>
  </si>
  <si>
    <t>CV SIRKAH JAYA</t>
  </si>
  <si>
    <t>Batu</t>
  </si>
  <si>
    <t>Ds. Ngadiboyo</t>
  </si>
  <si>
    <t>UD KARYA BERSAMA</t>
  </si>
  <si>
    <t>UD JATI MAJU</t>
  </si>
  <si>
    <t>Kel. Warujayeng</t>
  </si>
  <si>
    <t>Pengrajin Kandang Ayam</t>
  </si>
  <si>
    <t>Kandang ayam</t>
  </si>
  <si>
    <t>Ds. Jarakan</t>
  </si>
  <si>
    <t>Murdoko</t>
  </si>
  <si>
    <t>Bata merah</t>
  </si>
  <si>
    <t>Ahmad Zainal Arifin</t>
  </si>
  <si>
    <t>Batu bata</t>
  </si>
  <si>
    <t>Kasmuri</t>
  </si>
  <si>
    <t>Pak Damun</t>
  </si>
  <si>
    <t>Gaimin</t>
  </si>
  <si>
    <t>Kapuk mentah</t>
  </si>
  <si>
    <t>Ormas Unggul Jaya</t>
  </si>
  <si>
    <t>TAHU SARI</t>
  </si>
  <si>
    <t>Sampun</t>
  </si>
  <si>
    <t>Jamu Gendong Sekar Sari</t>
  </si>
  <si>
    <t xml:space="preserve">Jamu </t>
  </si>
  <si>
    <t>UD KARTINI JEPARA</t>
  </si>
  <si>
    <t>Agung</t>
  </si>
  <si>
    <t>Marmin</t>
  </si>
  <si>
    <t xml:space="preserve">Ds. Tanjungrejo  </t>
  </si>
  <si>
    <t>Murjinem</t>
  </si>
  <si>
    <t>Ds. Tanjungrejo</t>
  </si>
  <si>
    <t>LANCAR JAYA</t>
  </si>
  <si>
    <t>SUPER POWER COCK</t>
  </si>
  <si>
    <t>PYRAMID</t>
  </si>
  <si>
    <t>Ds. Ngasem</t>
  </si>
  <si>
    <t>Ngasini</t>
  </si>
  <si>
    <t>Anyaman mendong</t>
  </si>
  <si>
    <t>Dsn. Songsong, Ds. Jatikalen</t>
  </si>
  <si>
    <t>Rokhana</t>
  </si>
  <si>
    <t>Tenun</t>
  </si>
  <si>
    <t>Ds. Begendeng</t>
  </si>
  <si>
    <t>Sumadi</t>
  </si>
  <si>
    <t>Ds. Perning</t>
  </si>
  <si>
    <t>Ibu Kasti</t>
  </si>
  <si>
    <t>Kholisah</t>
  </si>
  <si>
    <t>Ds. Tembarak</t>
  </si>
  <si>
    <t>Kukuh Suharsono</t>
  </si>
  <si>
    <t>Salidi</t>
  </si>
  <si>
    <t>Munadi</t>
  </si>
  <si>
    <t>Supriyadi</t>
  </si>
  <si>
    <t>Sumarmi</t>
  </si>
  <si>
    <t>RAJAWALI MAS</t>
  </si>
  <si>
    <t>Ds. Ngadioso</t>
  </si>
  <si>
    <t>Jiman</t>
  </si>
  <si>
    <t>Umar Sanasi</t>
  </si>
  <si>
    <t>Ds. Sugihwaras</t>
  </si>
  <si>
    <t>Ibu Lasmi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</si>
  <si>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</si>
  <si>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</si>
  <si>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</si>
  <si>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</si>
  <si>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</si>
  <si>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</si>
  <si>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</si>
  <si>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Ds. Kerepkidul</t>
  </si>
  <si>
    <t>Pak Sugianto</t>
  </si>
  <si>
    <t>Kendi</t>
  </si>
  <si>
    <t>Pak Suwolo</t>
  </si>
  <si>
    <t>Kartolo</t>
  </si>
  <si>
    <t>Ds. Waung</t>
  </si>
  <si>
    <t>CV MITRASAHAJAYA</t>
  </si>
  <si>
    <t>Muharko</t>
  </si>
  <si>
    <t>krupuk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</si>
  <si>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</si>
  <si>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</si>
  <si>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</si>
  <si>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</si>
  <si>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</si>
  <si>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</si>
  <si>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</si>
  <si>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</si>
  <si>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</si>
  <si>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</si>
  <si>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</si>
  <si>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</si>
  <si>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</si>
  <si>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</si>
  <si>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</si>
  <si>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</si>
  <si>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</si>
  <si>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</si>
  <si>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Pandebesi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</si>
  <si>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</si>
  <si>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</si>
  <si>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</si>
  <si>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</si>
  <si>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</si>
  <si>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</si>
  <si>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</si>
  <si>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</si>
  <si>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</si>
  <si>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</si>
  <si>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</si>
  <si>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</si>
  <si>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Ds. Kepuh</t>
  </si>
  <si>
    <t>Mariati</t>
  </si>
  <si>
    <t>Emping Jagung</t>
  </si>
  <si>
    <t>Nyono</t>
  </si>
  <si>
    <t>Marning</t>
  </si>
  <si>
    <t>Ds. Petak</t>
  </si>
  <si>
    <t>Ds. Kacangan</t>
  </si>
  <si>
    <t>Yayuk</t>
  </si>
  <si>
    <t>Gatot,Tiwul,Jagung Instan</t>
  </si>
  <si>
    <t>Ds. Gejagan</t>
  </si>
  <si>
    <t>Wiwik</t>
  </si>
  <si>
    <t>Gatot Instan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</si>
  <si>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</si>
  <si>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</si>
  <si>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</si>
  <si>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</si>
  <si>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</si>
  <si>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</si>
  <si>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</si>
  <si>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</si>
  <si>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</si>
  <si>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</si>
  <si>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</si>
  <si>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</si>
  <si>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</si>
  <si>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</si>
  <si>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Ds. Selorejo</t>
  </si>
  <si>
    <t>UD MODL</t>
  </si>
  <si>
    <t>Bak truk</t>
  </si>
  <si>
    <t>M. Jais</t>
  </si>
  <si>
    <t>Dsn. Dukuh, Ds. Banaranwetan</t>
  </si>
  <si>
    <t>UD MUJISENO</t>
  </si>
  <si>
    <t>Ds. Sonopatik</t>
  </si>
  <si>
    <t>UD MITRA LUHUR JAYA</t>
  </si>
  <si>
    <t>Logam</t>
  </si>
  <si>
    <t>Jl. Panglima Sudirman</t>
  </si>
  <si>
    <t>CV BINA LESTARI</t>
  </si>
  <si>
    <t>Agung Setyawan</t>
  </si>
  <si>
    <t>UD JATI MULYA</t>
  </si>
  <si>
    <t>UD KARYA JATI</t>
  </si>
  <si>
    <t>UD HASIL UTAMA</t>
  </si>
  <si>
    <t>Dsn. Sambijajar, Ds. Drenges</t>
  </si>
  <si>
    <t>Sarpangi</t>
  </si>
  <si>
    <t>Gito</t>
  </si>
  <si>
    <t>Jamal</t>
  </si>
  <si>
    <t>Sultan Efendi</t>
  </si>
  <si>
    <t>UD SUMBER TANI</t>
  </si>
  <si>
    <t>Ds. Kwagean</t>
  </si>
  <si>
    <t>Yusido Sablon</t>
  </si>
  <si>
    <t>Kaos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</si>
  <si>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</si>
  <si>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</si>
  <si>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</si>
  <si>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</si>
  <si>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</si>
  <si>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</si>
  <si>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</si>
  <si>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</si>
  <si>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</si>
  <si>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</si>
  <si>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</si>
  <si>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</si>
  <si>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</si>
  <si>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</si>
  <si>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</si>
  <si>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</si>
  <si>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</si>
  <si>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</si>
  <si>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</si>
  <si>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</si>
  <si>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</si>
  <si>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</si>
  <si>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</si>
  <si>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</si>
  <si>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</si>
  <si>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</si>
  <si>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</si>
  <si>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</si>
  <si>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</si>
  <si>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</si>
  <si>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</si>
  <si>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</si>
  <si>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</si>
  <si>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Desa Bangsri</t>
  </si>
  <si>
    <t>Mariyah</t>
  </si>
  <si>
    <t>Aneka kue</t>
  </si>
  <si>
    <t>Desa Bandung</t>
  </si>
  <si>
    <t>BATIK NILAM KENCANA</t>
  </si>
  <si>
    <t>Desa Kacangan</t>
  </si>
  <si>
    <t>BATIK BAYU MUKTI</t>
  </si>
  <si>
    <t>Dsn. Bogo Ds. Nglawak</t>
  </si>
  <si>
    <t>Siska Nurdayati</t>
  </si>
  <si>
    <t>Dsn. Wonotakan, Ds. Berbek</t>
  </si>
  <si>
    <t>Sugiyono</t>
  </si>
  <si>
    <t>Mudji</t>
  </si>
  <si>
    <t>Daniel Sukur</t>
  </si>
  <si>
    <t>Dsn.Barong. Ds.Mungkung</t>
  </si>
  <si>
    <t>Rusdi</t>
  </si>
  <si>
    <t>Santoso</t>
  </si>
  <si>
    <t>Dsn. Irobayan, Ds. Mungkung</t>
  </si>
  <si>
    <t>Lasmi</t>
  </si>
  <si>
    <t>Dsn. Papungan, Ds. Mungkung</t>
  </si>
  <si>
    <t>Sujito</t>
  </si>
  <si>
    <t>Dsn.Mbetek, Ds. Sumberwindu</t>
  </si>
  <si>
    <t>Lamiran</t>
  </si>
  <si>
    <t>Anyaman Bambu</t>
  </si>
  <si>
    <t>Darto</t>
  </si>
  <si>
    <t>Dsn.Gemenggeng, Ds. Gemenggeng</t>
  </si>
  <si>
    <t>Partiem</t>
  </si>
  <si>
    <t>Gerabah</t>
  </si>
  <si>
    <t>Supartinah</t>
  </si>
  <si>
    <t>Dsn.tanggungan, Ds. Balongan</t>
  </si>
  <si>
    <t>UD. Aris Aman Makmur</t>
  </si>
  <si>
    <t>Molding</t>
  </si>
  <si>
    <t>m3/thn</t>
  </si>
  <si>
    <t>Gambirejo, Kel.Warujayeng</t>
  </si>
  <si>
    <t>M.Sofyan</t>
  </si>
  <si>
    <t>batu bata</t>
  </si>
  <si>
    <t>Sugito</t>
  </si>
  <si>
    <t>buah/hri</t>
  </si>
  <si>
    <t>M. Ruslim</t>
  </si>
  <si>
    <t>Sudarwanto</t>
  </si>
  <si>
    <t>Ngademan</t>
  </si>
  <si>
    <t>Kosim</t>
  </si>
  <si>
    <t>Suwarno</t>
  </si>
  <si>
    <t>Samiran</t>
  </si>
  <si>
    <t>Dsn.Duwel, Ds.sukorejo</t>
  </si>
  <si>
    <t xml:space="preserve">TKS Super </t>
  </si>
  <si>
    <t>Arif</t>
  </si>
  <si>
    <t>Anik Winarti</t>
  </si>
  <si>
    <t>TKS</t>
  </si>
  <si>
    <t>KOKB</t>
  </si>
  <si>
    <t>TKS LPM</t>
  </si>
  <si>
    <t>Gambirejo, Kel Warujayeng</t>
  </si>
  <si>
    <t>Riyanto</t>
  </si>
  <si>
    <t>Batu Bata</t>
  </si>
  <si>
    <t>Dsn.Karoan, Ds. Tiripan</t>
  </si>
  <si>
    <t>UD Sumber Urip</t>
  </si>
  <si>
    <t>Meubel</t>
  </si>
  <si>
    <t>m3/bln</t>
  </si>
  <si>
    <t>Bintang Super</t>
  </si>
  <si>
    <t>Jaemun</t>
  </si>
  <si>
    <t>Nyoto</t>
  </si>
  <si>
    <t>Dsn/Ds Kerepkidul</t>
  </si>
  <si>
    <t>Yulianti</t>
  </si>
  <si>
    <t>Juminah</t>
  </si>
  <si>
    <t>Dsn.Dukuhan, Ds. Tiripan</t>
  </si>
  <si>
    <t>Joko Sambang</t>
  </si>
  <si>
    <t>Jasa Gergaji</t>
  </si>
  <si>
    <t>m3/bulan</t>
  </si>
  <si>
    <t>Parji</t>
  </si>
  <si>
    <t>kendi</t>
  </si>
  <si>
    <t>Samidah</t>
  </si>
  <si>
    <t>Wati</t>
  </si>
  <si>
    <t>Kastari Wijaya</t>
  </si>
  <si>
    <t>celengan</t>
  </si>
  <si>
    <t>Sulaiman / Suparti</t>
  </si>
  <si>
    <t>Sugianto</t>
  </si>
  <si>
    <t>Wasito</t>
  </si>
  <si>
    <t>Damiran</t>
  </si>
  <si>
    <t>Abdur Rochman</t>
  </si>
  <si>
    <t>Repair, jasa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</si>
  <si>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</si>
  <si>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</si>
  <si>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</si>
  <si>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</si>
  <si>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</si>
  <si>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</si>
  <si>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</si>
  <si>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</si>
  <si>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JL Raya loceret malangsari</t>
  </si>
  <si>
    <t>UD ZAM ZAMI</t>
  </si>
  <si>
    <t>Tas</t>
  </si>
  <si>
    <t>RT 1  RW 1 Tegaron</t>
  </si>
  <si>
    <t>UD BINTANG JAYA</t>
  </si>
  <si>
    <t>Kopi Bubuk</t>
  </si>
  <si>
    <t>Dsn grapah musir lor</t>
  </si>
  <si>
    <t>UD JATI LESTARI</t>
  </si>
  <si>
    <t>DS TEMBARAK</t>
  </si>
  <si>
    <t>UD REGINA BAKERI</t>
  </si>
  <si>
    <t>Roti</t>
  </si>
  <si>
    <t xml:space="preserve">JL EMPU SENDOK CANDIREJO </t>
  </si>
  <si>
    <t>UD MIKO KOPI JAYA BESAMA</t>
  </si>
  <si>
    <t xml:space="preserve"> UD SUMBER REJEKI</t>
  </si>
  <si>
    <t>Ds. Kelutan</t>
  </si>
  <si>
    <t>UD  BERKAT USAHA</t>
  </si>
  <si>
    <t>UD  MARGO MULYO</t>
  </si>
  <si>
    <t>Ds. Sombron</t>
  </si>
  <si>
    <t>UD  FLY SMASH</t>
  </si>
  <si>
    <t>Ds. Maguan</t>
  </si>
  <si>
    <t>UD  ADI JAYA</t>
  </si>
  <si>
    <t>UD  LANGGENG JAYA</t>
  </si>
  <si>
    <t>Ds. Klodan</t>
  </si>
  <si>
    <t>UD  MULYO SARI</t>
  </si>
  <si>
    <t>Ds. Blongko</t>
  </si>
  <si>
    <t>UD  AMELIA MEBEL</t>
  </si>
  <si>
    <t>Ds. Kalianyar</t>
  </si>
  <si>
    <t>UD  BERSAMA</t>
  </si>
  <si>
    <t>btng</t>
  </si>
  <si>
    <t>Ds. Katerban</t>
  </si>
  <si>
    <t>UD  WAKHID MEBEL</t>
  </si>
  <si>
    <t>Ds. Baron</t>
  </si>
  <si>
    <t>UD  BERKAH BERSAUDARA</t>
  </si>
  <si>
    <t>Ds. Prayungan</t>
  </si>
  <si>
    <t>UD  PUJI LESTARI</t>
  </si>
  <si>
    <t>Loster</t>
  </si>
  <si>
    <t>Ds. Ketandan</t>
  </si>
  <si>
    <t xml:space="preserve"> UD SINAR JAYA</t>
  </si>
  <si>
    <t>Ds. Balonggebang</t>
  </si>
  <si>
    <t>UD  MUSTIKA KEMBAR</t>
  </si>
  <si>
    <t>UD  AKAR SUBUR</t>
  </si>
  <si>
    <t>Ds. Campur</t>
  </si>
  <si>
    <t>UD  CHANDRA FURNITUR</t>
  </si>
  <si>
    <t>Ds. Sumberagung</t>
  </si>
  <si>
    <t>UD  JATI AGUNG</t>
  </si>
  <si>
    <t>Ds. Kedungpadang</t>
  </si>
  <si>
    <t>UD  SIDO MAKMUR</t>
  </si>
  <si>
    <t>Ds. Tanjungtani</t>
  </si>
  <si>
    <t>UD  SUMBER BARU ASLI</t>
  </si>
  <si>
    <t>Sari buah</t>
  </si>
  <si>
    <t>krat</t>
  </si>
  <si>
    <t>UD  QOYUM</t>
  </si>
  <si>
    <t>UD  NIA JAYA</t>
  </si>
  <si>
    <t>Rapia</t>
  </si>
  <si>
    <t>UD  TOP</t>
  </si>
  <si>
    <t>pack</t>
  </si>
  <si>
    <t>ANUGRAH JATI</t>
  </si>
  <si>
    <t>Ds. Sumberkepuh</t>
  </si>
  <si>
    <t>JAYENG BATUR</t>
  </si>
  <si>
    <t>IMELDA JAYA</t>
  </si>
  <si>
    <t>konveksi</t>
  </si>
  <si>
    <t>DS JOHO</t>
  </si>
  <si>
    <t>AKAR JATI MULYA</t>
  </si>
  <si>
    <t>LANGIT BIRU</t>
  </si>
  <si>
    <t>INDERA MEBEL</t>
  </si>
  <si>
    <t>DS GEMENGGENG</t>
  </si>
  <si>
    <t>USAHA JAYA</t>
  </si>
  <si>
    <t>Tepung gaplek</t>
  </si>
  <si>
    <t>DS SINGKALANYAR</t>
  </si>
  <si>
    <t>BELINI</t>
  </si>
  <si>
    <t>Antena TV</t>
  </si>
  <si>
    <t>DS BANJARANYAR</t>
  </si>
  <si>
    <t>SUKA ABADI JAYA</t>
  </si>
  <si>
    <t>SAWAHAN</t>
  </si>
  <si>
    <t>HARMAJI</t>
  </si>
  <si>
    <t>KAMBALI</t>
  </si>
  <si>
    <t>NUR HASIM</t>
  </si>
  <si>
    <t>IMAM GOZALI</t>
  </si>
  <si>
    <t>SUWARNO</t>
  </si>
  <si>
    <t>TEMBARAK</t>
  </si>
  <si>
    <t>SUNOTO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</si>
  <si>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</si>
  <si>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</si>
  <si>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</si>
  <si>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</si>
  <si>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</si>
  <si>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</si>
  <si>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</si>
  <si>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</si>
  <si>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</si>
  <si>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</si>
  <si>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</si>
  <si>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</si>
  <si>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</si>
  <si>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</si>
  <si>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</si>
  <si>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</si>
  <si>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</si>
  <si>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</si>
  <si>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</si>
  <si>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</si>
  <si>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</si>
  <si>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</si>
  <si>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</si>
  <si>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</si>
  <si>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</si>
  <si>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</si>
  <si>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</si>
  <si>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</si>
  <si>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DS MOJOAGUNG</t>
  </si>
  <si>
    <t>ARIF</t>
  </si>
  <si>
    <t>Topeng</t>
  </si>
  <si>
    <t>KANTIONO</t>
  </si>
  <si>
    <t>WUWUH ARI SETIAWAN</t>
  </si>
  <si>
    <t>MOH MASHURI</t>
  </si>
  <si>
    <t>SUPRAPTO</t>
  </si>
  <si>
    <t>DAMIRIN</t>
  </si>
  <si>
    <t>DS BODOR</t>
  </si>
  <si>
    <t>BERKAH JEPANG JAYA</t>
  </si>
  <si>
    <t>DS JETIS</t>
  </si>
  <si>
    <t>SUPARMI</t>
  </si>
  <si>
    <t>Bawang goreng</t>
  </si>
  <si>
    <t>DS KEPANJEN</t>
  </si>
  <si>
    <t>REJEKI</t>
  </si>
  <si>
    <t>DS BANARAN</t>
  </si>
  <si>
    <t>NAFIS JAYA</t>
  </si>
  <si>
    <t>WIWIK YULAIKAH</t>
  </si>
  <si>
    <t>DS JATIGREGES</t>
  </si>
  <si>
    <t>DARDIRI</t>
  </si>
  <si>
    <t>DS SANAN</t>
  </si>
  <si>
    <t>NN</t>
  </si>
  <si>
    <t>Pia kacang hijau</t>
  </si>
  <si>
    <t>DS KECUBUNG</t>
  </si>
  <si>
    <t>BAROKAH</t>
  </si>
  <si>
    <t>Keripik tempe</t>
  </si>
  <si>
    <t>DS MLANDANGAN</t>
  </si>
  <si>
    <t>WIJI HADI PURNOMO</t>
  </si>
  <si>
    <t>Sangkar burung</t>
  </si>
  <si>
    <t>DS SUMBERKEPUH</t>
  </si>
  <si>
    <t>PUTRA JAYA</t>
  </si>
  <si>
    <t>MOH ABDUL GHONI</t>
  </si>
  <si>
    <t>WILIYANTO</t>
  </si>
  <si>
    <t>DS KEDUNGOMBO</t>
  </si>
  <si>
    <t>PRIMA PUTRA</t>
  </si>
  <si>
    <t>DS SONOBEKEL</t>
  </si>
  <si>
    <t>LUTFI TENUN</t>
  </si>
  <si>
    <t>IZZA JAYA</t>
  </si>
  <si>
    <t>Roti Bakery</t>
  </si>
  <si>
    <t>roti bakery</t>
  </si>
  <si>
    <t>Mbatembat</t>
  </si>
  <si>
    <t xml:space="preserve">Konveksi </t>
  </si>
  <si>
    <t>Jl Hos Cokro aminoto IV No. 5A</t>
  </si>
  <si>
    <t>Jamu gendong</t>
  </si>
  <si>
    <t>Jamu</t>
  </si>
  <si>
    <t>dsn. Kalipang, Ds Sumberkepuh</t>
  </si>
  <si>
    <t>Edtuko</t>
  </si>
  <si>
    <t>Ds. Bagor Kulon</t>
  </si>
  <si>
    <t>Marning ny siran</t>
  </si>
  <si>
    <t>Batik Lengkong</t>
  </si>
  <si>
    <t>Ds. Jogomerto</t>
  </si>
  <si>
    <t>Batik Jatikalen</t>
  </si>
  <si>
    <t>Ds. Trayang</t>
  </si>
  <si>
    <t>Arti Collection</t>
  </si>
  <si>
    <t>Kerajinan</t>
  </si>
  <si>
    <t xml:space="preserve">Dsn Ringinasri 02/02 Ds. Dadapan </t>
  </si>
  <si>
    <t>Si Jempol</t>
  </si>
  <si>
    <t>Jl. Barito VI No. 85 Ling. Keringan</t>
  </si>
  <si>
    <t>Gapit gulung</t>
  </si>
  <si>
    <t xml:space="preserve">Dsn. Jawar Ds. Gemenggeng </t>
  </si>
  <si>
    <t>Anyaman</t>
  </si>
  <si>
    <t>Ds. Semare</t>
  </si>
  <si>
    <t>APE</t>
  </si>
  <si>
    <t>Alat Permainan Edukatif</t>
  </si>
  <si>
    <t>Jl Yos Sudarso No. 80 Nganjuk</t>
  </si>
  <si>
    <t>Souvenir</t>
  </si>
  <si>
    <t xml:space="preserve">Ds. Patranrejo </t>
  </si>
  <si>
    <t>KUB Patra Kirana</t>
  </si>
  <si>
    <t>Kel. Jatirejo</t>
  </si>
  <si>
    <t>Wong bayu</t>
  </si>
  <si>
    <t>Kerupuk Ikan</t>
  </si>
  <si>
    <t>Ds. Ngetos</t>
  </si>
  <si>
    <t>Batik anak angin</t>
  </si>
  <si>
    <t>Ds. Jatikalen</t>
  </si>
  <si>
    <t>Kel. Bogo</t>
  </si>
  <si>
    <t>Sirup secang</t>
  </si>
  <si>
    <t>Minuman</t>
  </si>
  <si>
    <t>jl. wahid hasyim No. 30 kel kauman</t>
  </si>
  <si>
    <t>Aneka keripik</t>
  </si>
  <si>
    <t>nganjuk</t>
  </si>
  <si>
    <t>Brownies</t>
  </si>
  <si>
    <t>Keripik gadung</t>
  </si>
  <si>
    <t>Jl pandan No. 24 Kel Ganung Kidul</t>
  </si>
  <si>
    <t>Ds. Gondang kulon</t>
  </si>
  <si>
    <t>Jamu bu lurah</t>
  </si>
  <si>
    <t>Dsn. Dadi Ds Genjeng</t>
  </si>
  <si>
    <t>Rengginang ketela</t>
  </si>
  <si>
    <t>Rengginang</t>
  </si>
  <si>
    <t>Kel Ganung kidul</t>
  </si>
  <si>
    <t>Sambal pecel</t>
  </si>
  <si>
    <t>ds. Banjaranyar</t>
  </si>
  <si>
    <t>Kerupuk</t>
  </si>
  <si>
    <t>bungkus</t>
  </si>
  <si>
    <t>Ds Bagor Kulon</t>
  </si>
  <si>
    <t>Desa Sombron</t>
  </si>
  <si>
    <t>Batik basongan</t>
  </si>
  <si>
    <t>sambikenceng</t>
  </si>
  <si>
    <t>katerban</t>
  </si>
  <si>
    <t>Kacang open</t>
  </si>
  <si>
    <t>Roti bolu</t>
  </si>
  <si>
    <t>patianrowo</t>
  </si>
  <si>
    <t>kerajinan</t>
  </si>
  <si>
    <t>Kapas RT 02 RW 05</t>
  </si>
  <si>
    <t>Kapas RT 03 RW 05</t>
  </si>
  <si>
    <t>Karangrejo RT 04 RW 01, Kel.Kapas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</si>
  <si>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</si>
  <si>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</si>
  <si>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</si>
  <si>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</si>
  <si>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</si>
  <si>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Gethuk Singkong</t>
  </si>
  <si>
    <t>Koripan RT 08 RW 01, Kel. Kapas</t>
  </si>
  <si>
    <t>Aneka Kue</t>
  </si>
  <si>
    <t>Koripan RT 04 RW 08, Kel. Kapas</t>
  </si>
  <si>
    <t>Koripan RT 02 RW 08, Kel. Kapas</t>
  </si>
  <si>
    <t>Koripan RT 03 RW 08, Kel. Kapas</t>
  </si>
  <si>
    <t>Koripan RT 01 RW 08, Kel. Kapas</t>
  </si>
  <si>
    <t>Ds.Tanjungrejo</t>
  </si>
  <si>
    <t>Dsn. Beran, Ds. Tanjungrejo</t>
  </si>
  <si>
    <t>Kacang Goreng</t>
  </si>
  <si>
    <t>Dsn. Pugruk, Ds. Tanjungrejo</t>
  </si>
  <si>
    <t>Gelondong</t>
  </si>
  <si>
    <t>Ds. Sonobekel</t>
  </si>
  <si>
    <t>Sangkar Burung</t>
  </si>
  <si>
    <t>Dsn. Pulerejo, Ds. Bendungrejo</t>
  </si>
  <si>
    <t>Creative Centra Produksi Sangkar</t>
  </si>
  <si>
    <t>Ds. Kartoharjo</t>
  </si>
  <si>
    <t>UD. Sahabat</t>
  </si>
  <si>
    <t>CV. Ar Rahman</t>
  </si>
  <si>
    <t>Dk.Jimbir, Ds. Sugihwaras</t>
  </si>
  <si>
    <t>UD. Gendis Jaya Kapring</t>
  </si>
  <si>
    <t>ruji sangkar burung, tongkat pramuka</t>
  </si>
  <si>
    <t>Batik Ulul Albab</t>
  </si>
  <si>
    <t>Kel. Kartoharjo</t>
  </si>
  <si>
    <t>Batik Kartoharjo</t>
  </si>
  <si>
    <t>Enaxno</t>
  </si>
  <si>
    <t>liter</t>
  </si>
  <si>
    <t>Merdeka Advertising</t>
  </si>
  <si>
    <t>pigura</t>
  </si>
  <si>
    <t>Batik Karyadi (Wilangan)</t>
  </si>
  <si>
    <t>KUB Akar Jati</t>
  </si>
  <si>
    <t>meubel</t>
  </si>
  <si>
    <t>Jl. Wilis, Ganung Kidul</t>
  </si>
  <si>
    <t>Amalinda (Brownies Manten)</t>
  </si>
  <si>
    <t>brownies</t>
  </si>
  <si>
    <t>Ds. Lengkong</t>
  </si>
  <si>
    <t>Kika Collection</t>
  </si>
  <si>
    <t>kerajinan kain flanel</t>
  </si>
  <si>
    <t>Ds. Sukorejo</t>
  </si>
  <si>
    <t>Zuka Rasa</t>
  </si>
  <si>
    <t>abon lele</t>
  </si>
  <si>
    <t>Sri Karlina</t>
  </si>
  <si>
    <t>Jl Tumenggunng Irosroyo RT 03/RW 05 Pacewetan</t>
  </si>
  <si>
    <t>Ayesa Konveksi</t>
  </si>
  <si>
    <t>jilbab, seragam, kaos, training</t>
  </si>
  <si>
    <t xml:space="preserve">Perum Sima Sambijajar D9 </t>
  </si>
  <si>
    <t>The Chocolate</t>
  </si>
  <si>
    <t>cokelat</t>
  </si>
  <si>
    <t>Dsn. Sambirejo, Ds Katerban</t>
  </si>
  <si>
    <t>Rambut Nenek</t>
  </si>
  <si>
    <t>arum manis</t>
  </si>
  <si>
    <t>Jl. Wilis II b</t>
  </si>
  <si>
    <t>JM Boneka</t>
  </si>
  <si>
    <t>boneka</t>
  </si>
  <si>
    <t>Ds. Sambiroto</t>
  </si>
  <si>
    <t>Sulam Pita</t>
  </si>
  <si>
    <t>Tas, Sarung Bantal</t>
  </si>
  <si>
    <t>Diana Konveksi</t>
  </si>
  <si>
    <t>Konveksi Pakaian</t>
  </si>
  <si>
    <t>Tas, Mukena, Taplak Meja</t>
  </si>
  <si>
    <t>Ds. Sumberwindu</t>
  </si>
  <si>
    <t>muji setyorini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</si>
  <si>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</si>
  <si>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</si>
  <si>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</si>
  <si>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</si>
  <si>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</si>
  <si>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</si>
  <si>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</si>
  <si>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</si>
  <si>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</si>
  <si>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</si>
  <si>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</si>
  <si>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</si>
  <si>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</si>
  <si>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</si>
  <si>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</si>
  <si>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</si>
  <si>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</si>
  <si>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</si>
  <si>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</si>
  <si>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</si>
  <si>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</si>
  <si>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Dk. Morobau, Ds. Kerepkidul</t>
  </si>
  <si>
    <t>Mariatun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</si>
  <si>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</si>
  <si>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</si>
  <si>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</si>
  <si>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</si>
  <si>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</si>
  <si>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</si>
  <si>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</si>
  <si>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</si>
  <si>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</si>
  <si>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Perumnas Candirejo Blok K21</t>
  </si>
  <si>
    <t>CV Indonesia Kita</t>
  </si>
  <si>
    <t>Ds. Dingin</t>
  </si>
  <si>
    <t>Zahra</t>
  </si>
  <si>
    <t>Aneka Keripik</t>
  </si>
  <si>
    <t>JavRice Agribisnis</t>
  </si>
  <si>
    <t>Beras Merah, Kopi</t>
  </si>
  <si>
    <t>Kauman</t>
  </si>
  <si>
    <t>Tito</t>
  </si>
  <si>
    <t>Jl Kopral Usman No. 48</t>
  </si>
  <si>
    <t>Linda Kitchen</t>
  </si>
  <si>
    <t>Sambal Geledek</t>
  </si>
  <si>
    <t>Perumnas Candirejo</t>
  </si>
  <si>
    <t>Mak Lin</t>
  </si>
  <si>
    <t>Sambal Bawang Goreng</t>
  </si>
  <si>
    <t>Jl. Bengawan Solo No. 10</t>
  </si>
  <si>
    <t>Wisanggeni</t>
  </si>
  <si>
    <t>Sambal Pecel, Kopi</t>
  </si>
  <si>
    <t>Jl Merdeka</t>
  </si>
  <si>
    <t>De'Siska</t>
  </si>
  <si>
    <t>Aneka Kue dan Kopi Rempah</t>
  </si>
  <si>
    <t>TingKo</t>
  </si>
  <si>
    <t>Kerajinan Lintingan Koran</t>
  </si>
  <si>
    <t>Jl Abdurrachman Saleh No. 24</t>
  </si>
  <si>
    <t>Guler Chocolate</t>
  </si>
  <si>
    <t>Jl Monginsidi No. 84</t>
  </si>
  <si>
    <t>Rifan Cake &amp; Cookies</t>
  </si>
  <si>
    <t>Telur Asin Bang Agus</t>
  </si>
  <si>
    <t>Butir</t>
  </si>
  <si>
    <t>Jaheku</t>
  </si>
  <si>
    <t>Jahe Instan, Kunyit Asam</t>
  </si>
  <si>
    <t>Rohmat Cookies</t>
  </si>
  <si>
    <t>Ds. Tanjung</t>
  </si>
  <si>
    <t>Bima Tas</t>
  </si>
  <si>
    <t>Tas Hajatan</t>
  </si>
  <si>
    <t>Jl. Gatot Subroto No. 58, RT/RW 04/04, Kel. Kauman</t>
  </si>
  <si>
    <t>NIRWANA</t>
  </si>
  <si>
    <t xml:space="preserve">Beras Kencur, Sinom </t>
  </si>
  <si>
    <t>Ds. Pisang, RT/RW 03/03</t>
  </si>
  <si>
    <t>NOVITA SNACK</t>
  </si>
  <si>
    <t xml:space="preserve">Aneka Kue </t>
  </si>
  <si>
    <t>Ds. Demangan RT/RW 01/02</t>
  </si>
  <si>
    <t>RAHMAT</t>
  </si>
  <si>
    <t xml:space="preserve">Aneka Olahan Lele </t>
  </si>
  <si>
    <t>Ds. Dingin RT/RW 03/06</t>
  </si>
  <si>
    <t>ZHAHRA</t>
  </si>
  <si>
    <t>Ds. Gondangkulon RT/RW 08/02</t>
  </si>
  <si>
    <t>BU KAJI ANIS</t>
  </si>
  <si>
    <t xml:space="preserve">Sambal Pecel </t>
  </si>
  <si>
    <t xml:space="preserve">Jl. AS TUBUN  I No. 25 </t>
  </si>
  <si>
    <t>MACARON _ ID</t>
  </si>
  <si>
    <t>Ds. Sanggrahan RT/RW 08/03</t>
  </si>
  <si>
    <t>AZLA</t>
  </si>
  <si>
    <t>Ds. Godean RT/RW 02/01</t>
  </si>
  <si>
    <t>AG</t>
  </si>
  <si>
    <t>Ds. Banjaranyar RT/RW 02/01</t>
  </si>
  <si>
    <t>AGHITSNA</t>
  </si>
  <si>
    <t>Ds. Tanjungtani RT/RW 16/05</t>
  </si>
  <si>
    <t>NUMA TANJUNG</t>
  </si>
  <si>
    <t xml:space="preserve">Keripik Tempe </t>
  </si>
  <si>
    <t>Ds. Tanjungtani RT/RW 20/06</t>
  </si>
  <si>
    <t>RIZKI TANJUNG</t>
  </si>
  <si>
    <t>PRIMA TANJUNG</t>
  </si>
  <si>
    <t>Ds. Tanjungtani RT/RW 14/04</t>
  </si>
  <si>
    <t>CAHYA TANJUNG</t>
  </si>
  <si>
    <t>Ds. Tanjungtani RT/RW 12/04</t>
  </si>
  <si>
    <t>SEKAR TANJUNG</t>
  </si>
  <si>
    <t>PUTRA TANJUNG</t>
  </si>
  <si>
    <t>Ds. Tanjungtani RT/RW 17/05</t>
  </si>
  <si>
    <t>TANJUNG BERKAH</t>
  </si>
  <si>
    <t xml:space="preserve">JL. WR. SUPRATMAN NO.48 </t>
  </si>
  <si>
    <t>KITCHEN JAYA</t>
  </si>
  <si>
    <t>Jl. Tidar RT/RW 03/02 Batembat</t>
  </si>
  <si>
    <t>MAS BRENG</t>
  </si>
  <si>
    <t xml:space="preserve">Berambang Goreng </t>
  </si>
  <si>
    <t>Jl. A. Yani No. 422</t>
  </si>
  <si>
    <t>SAMBEL PECEL MAK'YI</t>
  </si>
  <si>
    <t>Ds. Jekek RT/RW 01/08</t>
  </si>
  <si>
    <t>SINDHU JAYA</t>
  </si>
  <si>
    <t>Jl. Janoko RT/RW 07/03 Guyangan</t>
  </si>
  <si>
    <t>TELUR ASIN  " T &amp; S "</t>
  </si>
  <si>
    <t xml:space="preserve">Telur Asin </t>
  </si>
  <si>
    <t>Jl. Supriyadi No. 26 RT/RW 01/02, Ds. Kauman</t>
  </si>
  <si>
    <t>SAMBEL ECLOK MBAK YANTI</t>
  </si>
  <si>
    <t>Jl. Srigadis No. 41 RT/RW 01/01, Ds. Pecuk</t>
  </si>
  <si>
    <t>CANA SNACK</t>
  </si>
  <si>
    <t>Jl. Srigadis RT/RW 01/01, Ds. Pecuk</t>
  </si>
  <si>
    <t>F &amp; F  SNACK</t>
  </si>
  <si>
    <t xml:space="preserve">Aneka Keripik </t>
  </si>
  <si>
    <t>Ds. Katerban RT/RW 02/01</t>
  </si>
  <si>
    <t>ZIE FOOD</t>
  </si>
  <si>
    <t xml:space="preserve">Perum Villa Candimas Blok G No. 1 </t>
  </si>
  <si>
    <t>SAE KOPI ROBUSTA</t>
  </si>
  <si>
    <t>Ds. Kebonagung RT/RW 03/05,</t>
  </si>
  <si>
    <t>TSUROYYA</t>
  </si>
  <si>
    <t xml:space="preserve">Ds. Gejagan RT/RW 02/01, </t>
  </si>
  <si>
    <t>NING'S KROMOKARSO</t>
  </si>
  <si>
    <t>Ds. Cerme RT/RW 01/06</t>
  </si>
  <si>
    <t>KARUNIA JAYA ABADI</t>
  </si>
  <si>
    <t>Jl. Diponegoro RT/RW 05/01, Ds.Ngadipiro</t>
  </si>
  <si>
    <t>AZIZAH SNACK</t>
  </si>
  <si>
    <t>Jl. Lawu I No.32 RT/RW 02/01 Kramat</t>
  </si>
  <si>
    <t>SI BAGONG</t>
  </si>
  <si>
    <t>Ds. Babadan RT/RW 01/01</t>
  </si>
  <si>
    <t>USAHA MANDIRI</t>
  </si>
  <si>
    <t>Jl. Teuku Umar 25 B</t>
  </si>
  <si>
    <t>UNGGUL SARI</t>
  </si>
  <si>
    <t>Dsn.Kerajan RT/RW 05/06</t>
  </si>
  <si>
    <t>Dsn.Jabon RT/RW 04/03</t>
  </si>
  <si>
    <t>ANEKA RASA</t>
  </si>
  <si>
    <t>Ds. Kutorejo RT/RW 011/005</t>
  </si>
  <si>
    <t>SUMBER REJEKI</t>
  </si>
  <si>
    <t>Jl.Bengawan Solo VIII No.98 RT/RW 03/02 Begadung</t>
  </si>
  <si>
    <t>SURYA JAYA</t>
  </si>
  <si>
    <t>Jl.Raung RT/RW 20/07 Ds.Gondang</t>
  </si>
  <si>
    <t>ALFIKA</t>
  </si>
  <si>
    <t>Desa Sonoageng RT/RW 35/09</t>
  </si>
  <si>
    <t>BIMA JAYA FOOD</t>
  </si>
  <si>
    <t>Ds.Bagor Kulon RT/RW 03/01</t>
  </si>
  <si>
    <t>AL FATH</t>
  </si>
  <si>
    <t>Dsn.Nglarangan RT/RW 02/04 Bajulan</t>
  </si>
  <si>
    <t>VINA JAYA</t>
  </si>
  <si>
    <t>Dsn.Dingin RT/RW 04/05</t>
  </si>
  <si>
    <t>SUMEMAMA</t>
  </si>
  <si>
    <t xml:space="preserve">Minuman Sari Kedelai </t>
  </si>
  <si>
    <t>Jl.Melati II No.15 RT/RW 03/02</t>
  </si>
  <si>
    <t>JAYA ABADI</t>
  </si>
  <si>
    <t>Jl.Dr.Sutomo I No.1 Kauman</t>
  </si>
  <si>
    <t>NUGROHO</t>
  </si>
  <si>
    <t xml:space="preserve">Manisan kolang-kaling </t>
  </si>
  <si>
    <t xml:space="preserve">Desa Ngujung RT/RW 02/02 </t>
  </si>
  <si>
    <t>SRI ASIH</t>
  </si>
  <si>
    <t xml:space="preserve">Madu mongso waluh </t>
  </si>
  <si>
    <t xml:space="preserve">Desa Kwagean RT/RW 02/03 </t>
  </si>
  <si>
    <t>TAPE MANIS "MBAK ELLA"</t>
  </si>
  <si>
    <t xml:space="preserve">Tape Singkong </t>
  </si>
  <si>
    <t>Desa Balonggebang RT/RW 30/10</t>
  </si>
  <si>
    <t>AUDIRA CAKE</t>
  </si>
  <si>
    <t>Desa Lambangkuning RT/RW 02/03</t>
  </si>
  <si>
    <t>SETIA ABADI</t>
  </si>
  <si>
    <t xml:space="preserve">Desa Joho RT/RW 01/01 </t>
  </si>
  <si>
    <t>GALIH PUTRA</t>
  </si>
  <si>
    <t xml:space="preserve">Jahe Instan </t>
  </si>
  <si>
    <t xml:space="preserve">Desa Mojorembun RT/RW 01/01 </t>
  </si>
  <si>
    <t>KWT KARYA ABADI</t>
  </si>
  <si>
    <t>Desa Klodan RT/RW 03/05</t>
  </si>
  <si>
    <t>UF3</t>
  </si>
  <si>
    <t xml:space="preserve">Desa Werungotok RT/RW 04/02 </t>
  </si>
  <si>
    <t>ROTI KACANG BAROKAH</t>
  </si>
  <si>
    <t xml:space="preserve">Desa Mojokendil RT/RW 02/02 </t>
  </si>
  <si>
    <t>KERUPUK KEDELAI "RASA MANNA…?"</t>
  </si>
  <si>
    <t xml:space="preserve">Desa Jatirejo RT/RW 06/08 </t>
  </si>
  <si>
    <t>BAWANG GORENG "MBOK YATI"</t>
  </si>
  <si>
    <t xml:space="preserve">Desa Kampungbaru RT/RW 05/05 </t>
  </si>
  <si>
    <t>SAMBAL PECEL NYESS NGANJUK</t>
  </si>
  <si>
    <t>Ds. Kutorejo RT/RW 007/004</t>
  </si>
  <si>
    <t>MAK NYAI</t>
  </si>
  <si>
    <t xml:space="preserve">Minuman </t>
  </si>
  <si>
    <t xml:space="preserve">Desa Ganungkidul RT/RW 01/01 </t>
  </si>
  <si>
    <t>MAKMUR JAYA</t>
  </si>
  <si>
    <t>Desa Sukorejo RT/RW 04/02</t>
  </si>
  <si>
    <t>KARIBAYA</t>
  </si>
  <si>
    <t xml:space="preserve">Aneka Olahan Blimbing </t>
  </si>
  <si>
    <t xml:space="preserve">Jl. Hasanudin No. 61 </t>
  </si>
  <si>
    <t>NABYL BAKERY</t>
  </si>
  <si>
    <t>Desa Sumbersono RT/RW 01/01</t>
  </si>
  <si>
    <t>CAHAYA ABADI</t>
  </si>
  <si>
    <t>Desa Sukorejo RT/RW 03/02</t>
  </si>
  <si>
    <t>SEHAT JAYA</t>
  </si>
  <si>
    <t xml:space="preserve">Ds.Tanjungkalang RT/RW 01/06 </t>
  </si>
  <si>
    <t>DUA PUTRI</t>
  </si>
  <si>
    <t xml:space="preserve">Ds.Gondanglegi RT/RW 02/06 </t>
  </si>
  <si>
    <t>D2 DADI BAROKAH</t>
  </si>
  <si>
    <t xml:space="preserve">Ds.Lestari Gg 2 RT/RW 02/02 </t>
  </si>
  <si>
    <t>SEMUA SUKA</t>
  </si>
  <si>
    <t xml:space="preserve">Jl. Raya Kediri No.105 </t>
  </si>
  <si>
    <t>SNACK 95</t>
  </si>
  <si>
    <t>Ds.Macanan RT/RW 06/01</t>
  </si>
  <si>
    <t>UD " LANCAR JAYA "</t>
  </si>
  <si>
    <t xml:space="preserve">Petis Udang </t>
  </si>
  <si>
    <t xml:space="preserve">Ds.Banaran </t>
  </si>
  <si>
    <t>DUA PUTRA</t>
  </si>
  <si>
    <t>PUSPA</t>
  </si>
  <si>
    <t xml:space="preserve">Jl.Wilis No.29 Ds. Tanjung </t>
  </si>
  <si>
    <t>MAUNA COOKIES</t>
  </si>
  <si>
    <t xml:space="preserve">Ds.Tanjungtani RT/RW 16/05 </t>
  </si>
  <si>
    <t>KRIPIK " BU AINI "</t>
  </si>
  <si>
    <t xml:space="preserve">Ds.Bendung Rejo RT/RW 06/03 </t>
  </si>
  <si>
    <t>HIMMA MADU</t>
  </si>
  <si>
    <t xml:space="preserve">Madu </t>
  </si>
  <si>
    <t xml:space="preserve">Jl.MT.Haryono No.35 RT/RW 03/03 Ploso </t>
  </si>
  <si>
    <t>D'MARA</t>
  </si>
  <si>
    <t xml:space="preserve">Jl.MT.Hariyono III No.131 RT/RW 05/05 </t>
  </si>
  <si>
    <t xml:space="preserve">KARUNIA </t>
  </si>
  <si>
    <t xml:space="preserve">Kacang Kulit Sangrai </t>
  </si>
  <si>
    <t xml:space="preserve">Jl.Barito No.136 Begadung </t>
  </si>
  <si>
    <t>BU MAY</t>
  </si>
  <si>
    <t xml:space="preserve">Serundeng </t>
  </si>
  <si>
    <t xml:space="preserve">Jl.Merdeka No.1A RT/RW 01/01 Mangundikaran </t>
  </si>
  <si>
    <t>MUSTIKA</t>
  </si>
  <si>
    <t>Jl.Barito No.78 RT/RW 04/06 Mangundikaran</t>
  </si>
  <si>
    <t>SHAFA'ATH</t>
  </si>
  <si>
    <t xml:space="preserve">Coklat Karakter </t>
  </si>
  <si>
    <t xml:space="preserve">buah </t>
  </si>
  <si>
    <t xml:space="preserve">Ds.Tanjungkalang RT/RW 03/04 </t>
  </si>
  <si>
    <t>DEWI SRI</t>
  </si>
  <si>
    <t xml:space="preserve">Rempeyek </t>
  </si>
  <si>
    <t xml:space="preserve">Ds.Nglinggo RT/RW 02/14 </t>
  </si>
  <si>
    <t>PRIMA BESK</t>
  </si>
  <si>
    <t xml:space="preserve">Ds.Senggowar RT/RW 01/01 </t>
  </si>
  <si>
    <t>Enha</t>
  </si>
  <si>
    <t>Jl.Gubernur Suryo No.2 Kauman</t>
  </si>
  <si>
    <t>UD.SAKINAH</t>
  </si>
  <si>
    <t xml:space="preserve">Ds.Kweden RT/RW 01/01 </t>
  </si>
  <si>
    <t>TUNGGAL EKA</t>
  </si>
  <si>
    <t xml:space="preserve">Ds.Plosoharjo RT/RW 01/02 </t>
  </si>
  <si>
    <t>MOJOPAHIT</t>
  </si>
  <si>
    <t xml:space="preserve">Jl.Monginsidi RT/RW 02/03 Payaman </t>
  </si>
  <si>
    <t>TULIP CAKE</t>
  </si>
  <si>
    <t xml:space="preserve">Ds.Pacekulon RT/RW 02/02 </t>
  </si>
  <si>
    <t>PUTRI BAROKAH</t>
  </si>
  <si>
    <t xml:space="preserve">Ds.Batembat RT/RW 03/01 </t>
  </si>
  <si>
    <t>BERKAH JAYA</t>
  </si>
  <si>
    <t xml:space="preserve">Ds.Pace Wetan RT/RW 03/05 </t>
  </si>
  <si>
    <t xml:space="preserve">BERKAH </t>
  </si>
  <si>
    <t xml:space="preserve">Bakpia </t>
  </si>
  <si>
    <t xml:space="preserve">Buah </t>
  </si>
  <si>
    <t xml:space="preserve">Ds.Macanan RT/RW 08/05 </t>
  </si>
  <si>
    <t>AISYAH</t>
  </si>
  <si>
    <t xml:space="preserve">Rengginang </t>
  </si>
  <si>
    <t xml:space="preserve">Jl. A.Yani No.119 </t>
  </si>
  <si>
    <t>YOYOK BAKERY</t>
  </si>
  <si>
    <t xml:space="preserve">Ds.Ngumpul  RT/RW  03/01 </t>
  </si>
  <si>
    <t>PAK RADEN</t>
  </si>
  <si>
    <t xml:space="preserve">Ds.Kaloran RT/RW 01/06 </t>
  </si>
  <si>
    <t>DUA BAWANG</t>
  </si>
  <si>
    <t xml:space="preserve">Kerupuk Rambak </t>
  </si>
  <si>
    <t xml:space="preserve">Jl.Jaksa Agung Suprapto No.40 </t>
  </si>
  <si>
    <t>ALUNNA</t>
  </si>
  <si>
    <t xml:space="preserve">Ds.Garu RT/RW 05/03 </t>
  </si>
  <si>
    <t>HAKIM JAMUR</t>
  </si>
  <si>
    <t>Pesantren Ds.Bodor</t>
  </si>
  <si>
    <t xml:space="preserve">                         </t>
  </si>
  <si>
    <t xml:space="preserve">Jl.Merdeka II No.3G </t>
  </si>
  <si>
    <t>RUTH "TELUR ASIN"</t>
  </si>
  <si>
    <t xml:space="preserve">Perorangan </t>
  </si>
  <si>
    <t xml:space="preserve">Ds.Kemlokolegi </t>
  </si>
  <si>
    <t xml:space="preserve">UD.BAROKAH </t>
  </si>
  <si>
    <t xml:space="preserve">Ds.Ngumpul </t>
  </si>
  <si>
    <t xml:space="preserve">Ds.Sumberurip </t>
  </si>
  <si>
    <t>NDORO CRISPY 88</t>
  </si>
  <si>
    <t xml:space="preserve">Keripik Usus </t>
  </si>
  <si>
    <t xml:space="preserve">Ds.Nglaban </t>
  </si>
  <si>
    <t xml:space="preserve">JIPANA SHUTTLECOCK </t>
  </si>
  <si>
    <t xml:space="preserve">JL. GUBERNUR SURYO NO. 02 KEC. NGANJUK </t>
  </si>
  <si>
    <t xml:space="preserve">SAMBAL DESS </t>
  </si>
  <si>
    <t>Lingk.Templek  RT. 003 RW.008 Kec.Sukomoro</t>
  </si>
  <si>
    <t>CYS</t>
  </si>
  <si>
    <t xml:space="preserve">JL. BARITO I NO. 30 RT. 005 RW. 007 Kec.Nganjuk </t>
  </si>
  <si>
    <t xml:space="preserve">MANGUN AYU </t>
  </si>
  <si>
    <t xml:space="preserve">DUSUN SONO RT. 003 RW. 002 DESA SONOPATIK </t>
  </si>
  <si>
    <t xml:space="preserve">YU ANI </t>
  </si>
  <si>
    <t>SAMBEL PECEL</t>
  </si>
  <si>
    <t xml:space="preserve">GANUNG ASRI BLOK D. 16 RT. 006 RW. 003 </t>
  </si>
  <si>
    <t>EBeNP</t>
  </si>
  <si>
    <t xml:space="preserve">DUSUN KARANG TENGAH RT.009 RW. 006 DESA GARU </t>
  </si>
  <si>
    <t>MAKLIK</t>
  </si>
  <si>
    <t>USUS AYAM GORENG TEPUNG</t>
  </si>
  <si>
    <t xml:space="preserve">Pack </t>
  </si>
  <si>
    <t>JL. WILIS NO. 29 RT. 004 RW. 001 KELURAHAN GANUNGKIDUL</t>
  </si>
  <si>
    <t>PUTRO KEMBANG SORE</t>
  </si>
  <si>
    <t xml:space="preserve">KAIN BATIK </t>
  </si>
  <si>
    <t>JL. WILIS NO. 64 RT. 004 RW. 008 KELURAHAN KERAMAT</t>
  </si>
  <si>
    <t>SAMBEL CADAS</t>
  </si>
  <si>
    <t>Sambal Bawang; Sambal Terasi; Sambal Cabe Hijau; Sambal Bajak</t>
  </si>
  <si>
    <t>DUSUN SUMENGKO RT.001 RW.002 DESA SUMENGKO</t>
  </si>
  <si>
    <t>GALUH</t>
  </si>
  <si>
    <t xml:space="preserve">KOK BADMINTON </t>
  </si>
  <si>
    <t>DUSUN NGLINGGO RT. 001 RW. 003 DESA NGLINGGO</t>
  </si>
  <si>
    <t xml:space="preserve">MAKSIH </t>
  </si>
  <si>
    <t>Jamu tiram, jamur kering</t>
  </si>
  <si>
    <t>WATULANANG RT.003 RW. 003 DESA SURU</t>
  </si>
  <si>
    <t xml:space="preserve">GOTREK </t>
  </si>
  <si>
    <t>JATIGREGES RT. 001 RW. 004 DESA JATIGREGES</t>
  </si>
  <si>
    <t>JATIWARAS</t>
  </si>
  <si>
    <t>DUSUN SEDAN RT 006 RW.004 DESA KEMLOKOLEGI</t>
  </si>
  <si>
    <t>ABYOSO</t>
  </si>
  <si>
    <t>DUSUN TEMPLEK RT. 002 RW. 008 KEL. SUKOMORO KECAMATAN SUKOMORO</t>
  </si>
  <si>
    <t>UNTSA</t>
  </si>
  <si>
    <t>DUSUN SAMBI JAJAR PERUM SIMA BLOK B NO. 12 RT. 005 RW. 006 DESA KWAGEAN KECAMATAN LOCERET</t>
  </si>
  <si>
    <t>WAHYU SUMINAR</t>
  </si>
  <si>
    <t>JL. CILIWUNG I NO. 04 BULAKMOJO RT. 001 RW. 001  KELURAHAN WERUNGOTOK  KECAMATAN NGANJUK</t>
  </si>
  <si>
    <t>NADATA</t>
  </si>
  <si>
    <t xml:space="preserve">DESA NGLUYU RT. 020 RW. 004 DESA NGLUYU KECAMATAN NGLUYU </t>
  </si>
  <si>
    <t>MINSE</t>
  </si>
  <si>
    <t>Minuman beras kencur; Minuman kunyit asam</t>
  </si>
  <si>
    <t xml:space="preserve">WONOKITRI 1/32-A RT. 006 RW. 002 DESA PAKIS KECAMATAN SAWAHAN </t>
  </si>
  <si>
    <t>KIAZZA</t>
  </si>
  <si>
    <t xml:space="preserve">JALAN DR. SUTOMO II/12, KELURAHAN PAYAMAN KECAMATAN NGANJUK </t>
  </si>
  <si>
    <t>JELUNG AFIQO</t>
  </si>
  <si>
    <t>DS. KEMLOKOLEGI, RT 003 RW.003 DESA KEMLOKOLEGI KEC. BARON</t>
  </si>
  <si>
    <t>SUDARSI</t>
  </si>
  <si>
    <t>DSN. PECUK RT.001 RW.003 DESA PECUK KEC. PATIANROWO</t>
  </si>
  <si>
    <t>BUESTU</t>
  </si>
  <si>
    <t>MAGUAN RT. 01 RW O5 DESA MAGUAN KEC. BERBEK</t>
  </si>
  <si>
    <t>BAITUL ATIEQ</t>
  </si>
  <si>
    <t>DUSUN SANGGRAHAN RT. 003 RW. 006 DESA NGLABAN  KECAMATAN LOCERET</t>
  </si>
  <si>
    <t>JIPANA</t>
  </si>
  <si>
    <t>JL. BARITO II / 16 RT. 001 RW. 007 KELURAHAN MANGUNDIKARAN KECAMATAN NGANJUK</t>
  </si>
  <si>
    <t xml:space="preserve">SUMINAR </t>
  </si>
  <si>
    <t xml:space="preserve">DUSUN TIRIP RT. 006 RW. 002 DESA SUMBERURIP KECAMATAN BERBEK </t>
  </si>
  <si>
    <t>NDORO EKAFA</t>
  </si>
  <si>
    <t>KUNGIRUN</t>
  </si>
  <si>
    <t xml:space="preserve">Perorangan  </t>
  </si>
  <si>
    <t xml:space="preserve">Keripik Singkong </t>
  </si>
  <si>
    <t>JL. TAMANAN RT.001 RW.004 KEL. GUYANGAN KEC. BAGOR</t>
  </si>
  <si>
    <t>BEVANDA</t>
  </si>
  <si>
    <t>DS.LAMBANGKUNING RT/RW. 002/002 KERTOSONO</t>
  </si>
  <si>
    <t>I-LEE</t>
  </si>
  <si>
    <t>Tanjung kalang RT 01 RW 02</t>
  </si>
  <si>
    <t>Anwar Jaya</t>
  </si>
  <si>
    <t>makanan</t>
  </si>
  <si>
    <t>plimping</t>
  </si>
  <si>
    <t>baron</t>
  </si>
  <si>
    <t>PT marefa alam samudra</t>
  </si>
  <si>
    <t>mesin</t>
  </si>
  <si>
    <t>Vian Group</t>
  </si>
  <si>
    <t>perorangan</t>
  </si>
  <si>
    <t xml:space="preserve">handycraft melati imitasi </t>
  </si>
  <si>
    <t>Kelutan</t>
  </si>
  <si>
    <t>Hidayah</t>
  </si>
  <si>
    <t>Dy Parfume</t>
  </si>
  <si>
    <t>sabun</t>
  </si>
  <si>
    <t>ngambyok</t>
  </si>
  <si>
    <t>tanjunganom</t>
  </si>
  <si>
    <t>Zidny</t>
  </si>
  <si>
    <t>makanan ( kulit lumpia)</t>
  </si>
  <si>
    <t>Rahma Frozen</t>
  </si>
  <si>
    <t>makanan (frozen food)</t>
  </si>
  <si>
    <t>Restu Jatijaya</t>
  </si>
  <si>
    <t>makanan(siomay)</t>
  </si>
  <si>
    <t>Deta Home Decor</t>
  </si>
  <si>
    <t xml:space="preserve">handycraft </t>
  </si>
  <si>
    <t>pcs</t>
  </si>
  <si>
    <t>Cerme</t>
  </si>
  <si>
    <t>Papa Gedang</t>
  </si>
  <si>
    <t>Istik Nurjanah</t>
  </si>
  <si>
    <t>telur asin</t>
  </si>
  <si>
    <t>butir</t>
  </si>
  <si>
    <t>Trayang</t>
  </si>
  <si>
    <t>Moeng</t>
  </si>
  <si>
    <t>minuman</t>
  </si>
  <si>
    <t>cup</t>
  </si>
  <si>
    <t>Kandangan, sugihwaras</t>
  </si>
  <si>
    <t>prambon</t>
  </si>
  <si>
    <t>Rejeki dua putri</t>
  </si>
  <si>
    <t>Dapur Bunda</t>
  </si>
  <si>
    <t>sambel</t>
  </si>
  <si>
    <t>Jl. Letjend Soeprapto No. 58, Ploso</t>
  </si>
  <si>
    <t>Bawang Goreng Nganjuk</t>
  </si>
  <si>
    <t>Semar</t>
  </si>
  <si>
    <t>sambal</t>
  </si>
  <si>
    <t>pace kulon</t>
  </si>
  <si>
    <t>pace</t>
  </si>
  <si>
    <t>UD Srimah Makmur</t>
  </si>
  <si>
    <t>tepung beras, tepung tapioka</t>
  </si>
  <si>
    <t>bandung</t>
  </si>
  <si>
    <t>Mpon Mpon Indonesia(Sinona)</t>
  </si>
  <si>
    <t>minuman ringan</t>
  </si>
  <si>
    <t>sidorejo</t>
  </si>
  <si>
    <t>sawahan</t>
  </si>
  <si>
    <t>Criuk criuk</t>
  </si>
  <si>
    <t>Lobeser</t>
  </si>
  <si>
    <t>Yoen's craft</t>
  </si>
  <si>
    <t>handcraft</t>
  </si>
  <si>
    <t>B'fun Craft</t>
  </si>
  <si>
    <t>handycraft</t>
  </si>
  <si>
    <t>Nglaban</t>
  </si>
  <si>
    <t>Indraloka</t>
  </si>
  <si>
    <t>shuttlecock</t>
  </si>
  <si>
    <t>dus</t>
  </si>
  <si>
    <t>Lancar Chok</t>
  </si>
  <si>
    <t>Al Kindar Craft</t>
  </si>
  <si>
    <t>handycraft (rajut tali kur)</t>
  </si>
  <si>
    <t>Kedungboto, ngepung</t>
  </si>
  <si>
    <t>Alliya Damai</t>
  </si>
  <si>
    <t>jaban drengas</t>
  </si>
  <si>
    <t>kertosono</t>
  </si>
  <si>
    <t>erfan jaya</t>
  </si>
  <si>
    <t>makanan (mie pentol bakso)</t>
  </si>
  <si>
    <t>Sumengko RT 02 RW 01</t>
  </si>
  <si>
    <t>Cenline</t>
  </si>
  <si>
    <t>Dsn. Gading RT 23 RW 09, Sonoageng</t>
  </si>
  <si>
    <t>Dan Light</t>
  </si>
  <si>
    <t>Sabun cuci piring</t>
  </si>
  <si>
    <t>Jl. Anggrek, Sekaran</t>
  </si>
  <si>
    <t>Naca Esential Oil</t>
  </si>
  <si>
    <t>minyak gosok</t>
  </si>
  <si>
    <t>Siti Fauziah (Oscar)</t>
  </si>
  <si>
    <t>liusin</t>
  </si>
  <si>
    <t>sumberkepuh</t>
  </si>
  <si>
    <t>Arbanat</t>
  </si>
  <si>
    <t>Kembang gula</t>
  </si>
  <si>
    <t>jekek</t>
  </si>
  <si>
    <t>Tiga putri</t>
  </si>
  <si>
    <t>kue kering dan catering</t>
  </si>
  <si>
    <t xml:space="preserve">jogomerto </t>
  </si>
  <si>
    <t>onde-onde si kembar</t>
  </si>
  <si>
    <t>onde-onde</t>
  </si>
  <si>
    <t>bogo</t>
  </si>
  <si>
    <t>dapure mak niek</t>
  </si>
  <si>
    <t>bawang goreng</t>
  </si>
  <si>
    <t>pecuk</t>
  </si>
  <si>
    <t>cana's</t>
  </si>
  <si>
    <t>Tikya</t>
  </si>
  <si>
    <t>mamin</t>
  </si>
  <si>
    <t>11.000.000</t>
  </si>
  <si>
    <t>Bodor</t>
  </si>
  <si>
    <t>Ndalem eyang</t>
  </si>
  <si>
    <t>jasa sablon</t>
  </si>
  <si>
    <t>Bendungrejo</t>
  </si>
  <si>
    <t>CV. Agro Sukses Mandiri (purga)</t>
  </si>
  <si>
    <t>310.000.000</t>
  </si>
  <si>
    <t>Ringinanom</t>
  </si>
  <si>
    <t>Johana</t>
  </si>
  <si>
    <t>kedungombo</t>
  </si>
  <si>
    <t>Robin Jaya (Sungut'e)</t>
  </si>
  <si>
    <t>makanan ringan</t>
  </si>
  <si>
    <t>Dsn Garu RT/RW 004/003</t>
  </si>
  <si>
    <t>Daffa</t>
  </si>
  <si>
    <t>Karang Tengah RT/RW 008/004</t>
  </si>
  <si>
    <t>Abadi</t>
  </si>
  <si>
    <t>Karang Tengah RT/RW 006/003</t>
  </si>
  <si>
    <t>Chiko</t>
  </si>
  <si>
    <t>Karang Tengah RT/RW 002/001</t>
  </si>
  <si>
    <t>Arjuno</t>
  </si>
  <si>
    <t>Karang Tengah RT/RW 007/004</t>
  </si>
  <si>
    <t>Papakuni</t>
  </si>
  <si>
    <t>Karang Tengah RT/RW 004/003</t>
  </si>
  <si>
    <t>AR</t>
  </si>
  <si>
    <t>Estetika Souvenir</t>
  </si>
  <si>
    <t>Kerajinan tangan</t>
  </si>
  <si>
    <t>Tanjung tani</t>
  </si>
  <si>
    <t>Rengdy</t>
  </si>
  <si>
    <t>Jl. Josuman Ds. Jetis</t>
  </si>
  <si>
    <t>PR Rumput Gajah Wuwu</t>
  </si>
  <si>
    <t>Industri Rokok Lainnya</t>
  </si>
  <si>
    <t>Dsn. Sumber RT/RW 002/002 Ds. Sidorejo</t>
  </si>
  <si>
    <t>Criuk-Criuk</t>
  </si>
  <si>
    <t>Keripik, sambal pecel, kentang balado, tape, brambang goreng, kacang klici</t>
  </si>
  <si>
    <t>Jl. Masjid RT/RW 002/002 Ds. Bangsri</t>
  </si>
  <si>
    <t>Asri</t>
  </si>
  <si>
    <t>Abon ayam, keripik tempe, stick bawang,kripik pare, kripik terong</t>
  </si>
  <si>
    <t>Jl. KHA Dahlan No. 10 Nganjuk Ds. Kauman</t>
  </si>
  <si>
    <t>D'Woery</t>
  </si>
  <si>
    <t>Kering kentang, sambal pecel, rempeyek</t>
  </si>
  <si>
    <t>Jalan Raya Madiun - Surabaya, Desa/Kelurahan Bagor Kulon, Kec. Bagor, Kab. Nganjuk, Provinsi Jawa Timur</t>
  </si>
  <si>
    <t>PT Nusantara Jaya Perkasa Aspal Beton</t>
  </si>
  <si>
    <t>23953 (Produksi Readymix) 23953 (Aspal)</t>
  </si>
  <si>
    <t>Aspal</t>
  </si>
  <si>
    <t>100 ton</t>
  </si>
  <si>
    <t>Jl. Panglima Sudirman No. 237, Desa/Kelurahan Mangudikaran, Kec. Nganjuk, Kab. Nganjuk, Mangundikaran, Nganjuk, Kabupaten Nganjuk, Jawa Timur, 64419</t>
  </si>
  <si>
    <t>CV Sami Mulyo</t>
  </si>
  <si>
    <t>10437 (industri minyak goreng kelapa sawit)</t>
  </si>
  <si>
    <t>Jl. Werkudoro, RT 01 / RW 03, Desa/Kelurahan Kepuh, Kec. Kertosono, Kab. Nganjuk, Jawa Timur, 64315</t>
  </si>
  <si>
    <t>PT Anugerah Mitra Maju</t>
  </si>
  <si>
    <t>10710 (Industri Produk Roti Dan Kue) 10732 (Industri Makanan Dari Cokelat Dan Kembang Gula Dari Coklat)</t>
  </si>
  <si>
    <t>Tanjungkalang, Tanjungkalang, Ngronggot, Kabupaten Nganjuk, Jawa Timur, 64395</t>
  </si>
  <si>
    <t xml:space="preserve">PT Indoraya Sejahtera Group </t>
  </si>
  <si>
    <t>12013 (Industri Sigaret Kretek Mesin) 12011 (Industri Sigaret Kretek Tangan) 12012 (Industri Rokok Putih)</t>
  </si>
  <si>
    <t xml:space="preserve"> STK</t>
  </si>
  <si>
    <t>Jl.Raya Warujayeng-Loceret, Plosoharjo, Pace, Kabupaten Nganjuk, Jawa Timur, 64472</t>
  </si>
  <si>
    <t xml:space="preserve">PR Moh. Bukhori </t>
  </si>
  <si>
    <t>Perseorangan</t>
  </si>
  <si>
    <t>12011 (Industri Sigaret Kretek Tangan)
 12019 (Tembakau Tis)</t>
  </si>
  <si>
    <t xml:space="preserve"> Batang</t>
  </si>
  <si>
    <t>SONOAGENG, Sono Ageng, Prambon, Kabupaten Nganjuk, Jawa Timur, 64484</t>
  </si>
  <si>
    <t>PR Moh. Mukhlas Ashidiq</t>
  </si>
  <si>
    <t>12019 (Industri rokok)</t>
  </si>
  <si>
    <t>Dsn. Mergoyoso, Kalianyar, Ngronggot, Kabupaten Nganjuk, Jawa Timur, 64395</t>
  </si>
  <si>
    <t>PT Bagus Pratama Jaya</t>
  </si>
  <si>
    <t>12011 (Industri Sigaret Kretek Tangan)  12019 (Industri Rokok Lainnya)</t>
  </si>
  <si>
    <t>BATANG</t>
  </si>
  <si>
    <t>Jalan Semeru No. 64, Tanjungrejo, Loceret, Kabupaten Nganjuk, Jawa Timur</t>
  </si>
  <si>
    <t>PT Karyamega Putra Mandiri</t>
  </si>
  <si>
    <t>12011 (INDUSTRI SIGARET KRETEK TANGAN)</t>
  </si>
  <si>
    <t>Jl. Arjuna RT.03/04, Kelurahan Kedondong, Kec. Bagor, Kabupaten Nganjuk, Jawa Timur 64461</t>
  </si>
  <si>
    <t>PT Rokatama Adhicitra</t>
  </si>
  <si>
    <t>12099 INDUSTRI PENGOLAHAN Industri Pengolahan Tembakau</t>
  </si>
  <si>
    <t>BUAH</t>
  </si>
  <si>
    <t>Dusun Bulurejo, Sawahan, Sawahan, Kabupaten Nganjuk, Jawa Timur, 64475</t>
  </si>
  <si>
    <t>PR Achmad Rizal</t>
  </si>
  <si>
    <t xml:space="preserve">JL.WARUJAYENG-NGANJUK Desa.Plosoharjo,Kec.Pace,Kab.Nganjuk, Plosoharjo, Pace, Kabupaten Nganjuk, Jawa Timur, 64472             </t>
  </si>
  <si>
    <t xml:space="preserve">PR Sumiati Sujono Somodiwiryo </t>
  </si>
  <si>
    <t>12011 (INDUSTRI SIGARET KRETEK TANGAN)  112013 (INDUSTRI SIGARET KRETEK MESIN) 12019 (Industri Rokok Lainnya)</t>
  </si>
  <si>
    <t>Jl. W. Monginsidi No.02, Payaman, Nganjuk, Kabupaten Nganjuk, Jawa Timur, 64418</t>
  </si>
  <si>
    <t xml:space="preserve">CV Mangga Gandeng </t>
  </si>
  <si>
    <t>12011 (Industri Sigaret Kretek Tangan)</t>
  </si>
  <si>
    <t>Dsn Kacangan RT009 RW003, Kacangan, Berbek, Kabupaten Nganjuk, Jawa Timur, 64473</t>
  </si>
  <si>
    <t>PR Putra Samsu Mas Widjoyo</t>
  </si>
  <si>
    <t>12011 (INDUSTRI KRETEK)</t>
  </si>
  <si>
    <t xml:space="preserve">Jl. Lurah S. Kartoprawiro, Kacangan, Berbek, Kabupaten Nganjuk, Jawa Timur, 64473, </t>
  </si>
  <si>
    <t>PR Tunggal Sedjarah Mas</t>
  </si>
  <si>
    <t>12011 (INDUSTRI ROKOK)</t>
  </si>
  <si>
    <t xml:space="preserve">Jalan Warujayeng - Nganjuk, Desa Kecubung Kecamatan Pace Kabupaten Nganjuk, Kecubung, Pace, Kabupaten Nganjuk, Jawa Timur, 64472, </t>
  </si>
  <si>
    <t>PT Alam Makmur Anuri</t>
  </si>
  <si>
    <t>20127 (Produksi Pupuk Organik Remah)</t>
  </si>
  <si>
    <t>JL. RAYA BARON - LENGKONG NO. 25, DUSUN. PADASAN, Garu, Baron, Kabupaten Nganjuk, Jawa Timur, 64394</t>
  </si>
  <si>
    <t>PT Indo Bakry Nusantara</t>
  </si>
  <si>
    <t>10710 (INDUSTRI PRODUK KUE &amp; ROTI)</t>
  </si>
  <si>
    <t>piece</t>
  </si>
  <si>
    <t>Jl.Brantas No 22 RT 03 RW 07 Ds.Babadan Kel.Werungotok Kec.Nganjuk, Werungotok, Nganjuk, Kabupaten Nganjuk, Jawa Timur, 64419</t>
  </si>
  <si>
    <t>CV Abriantama Indosa</t>
  </si>
  <si>
    <t xml:space="preserve">28193 (Industri mesin pendingin) </t>
  </si>
  <si>
    <t xml:space="preserve">Jl. KH Wakhid Hasyim No. 304 Tanjunganom Nganjuk, Tanjunganom, Tanjunganom, Kabupaten Nganjuk, Jawa Timur, 64483, </t>
  </si>
  <si>
    <t>PT Lohjinawi Tanjung Industri</t>
  </si>
  <si>
    <t>11040 (Industri Minuman Ringan)  10613 (Industri Penggilingan Aneka Umbi Dan Sayuran (Termasuk Rhizoma))</t>
  </si>
  <si>
    <t xml:space="preserve">Dsn. Sendangrejo RT/RW. 002/003, Sidorejo, Sawahan, Kabupaten Nganjuk, Jawa Timur, 64475, </t>
  </si>
  <si>
    <t>CV Putra Tunggal Persada</t>
  </si>
  <si>
    <t>11051 (Industri Air Kemasan)</t>
  </si>
  <si>
    <t xml:space="preserve">Jalan Raya Madiun, Mungkung, Loceret, Kabupaten Nganjuk, Jawa Timur, 64471, </t>
  </si>
  <si>
    <t>PR Riyanto</t>
  </si>
  <si>
    <t>23963 (Industri Barang Dari Batu Untuk Keperluan Rumah Tangga, Pajangan dan Dan Bahan Bangunan)</t>
  </si>
  <si>
    <t>meter kubik</t>
  </si>
  <si>
    <t xml:space="preserve">Dusun Jajar, Margopatut, Sawahan, Kabupaten Nganjuk, Jawa Timur, 64475, </t>
  </si>
  <si>
    <t>CV Anugerah Jaya Subur</t>
  </si>
  <si>
    <t>11051 (Air Minum Dalam Kemasan)</t>
  </si>
  <si>
    <t xml:space="preserve">Jl. Sutoyo No. 26. Desa. Loceret. Kec. Loceret. Kab. Nganjuk, Loceret, Loceret, Kabupaten Nganjuk, Jawa Timur, 64471, </t>
  </si>
  <si>
    <t>CV Berkah Kerta Raharja</t>
  </si>
  <si>
    <t> 12011 (INDUSTRI SIGARET KRETEK TANGAN)</t>
  </si>
  <si>
    <t>stk</t>
  </si>
  <si>
    <t xml:space="preserve">Jalan Widas No. 19, Begadung, Nganjuk, Kabupaten Nganjuk, Jawa Timur, 64413, </t>
  </si>
  <si>
    <t>PR Putra Buana Tobacco</t>
  </si>
  <si>
    <t>12011 (Industri Hasil Tembakau)</t>
  </si>
  <si>
    <t>Jl Masjid RT.01 RW.01 Desa Pakuncen, Pakuncen, Patianrowo, Kabupaten Nganjuk, Jawa Timur, 64391,</t>
  </si>
  <si>
    <t>CV Jamu Tradisional Al Qomar</t>
  </si>
  <si>
    <t>21022 (Usaha Kecil Obat Tradisional)</t>
  </si>
  <si>
    <t>Jl.Raya sedudo Dusun Klogean,kel.siwalan kec.Sawahan,Kab.Nganjuk jawatimur, Siwalan, Sawahan, Kabupaten Nganjuk, Jawa Timur</t>
  </si>
  <si>
    <t>CV Tirta Wilis Alami</t>
  </si>
  <si>
    <t>11051 (Air minum Dalam Kemasan)</t>
  </si>
  <si>
    <t>karton</t>
  </si>
  <si>
    <t>Desa Singkalanyar Rt.01/Rw.01, Singkalanyar, Prambon, Kabupaten Nganjuk, Jawa Timur, 64484</t>
  </si>
  <si>
    <t>CV Bintang Sedudo</t>
  </si>
  <si>
    <t>29200 (KAROSERI)</t>
  </si>
  <si>
    <t>20127 (Produksi Pupuk Organik Remah)
 46652 (Produksi Pupuk Pembenah Tanah Organik Cair)
 20127 (Produksi Pupuk Hayati Cair Majemuk)
 20121 (Produksi Pupuk Pembenah Tanah Organik Cair</t>
  </si>
  <si>
    <t>JL PANGLIMA SUDIRMAN NO 198, Mangundikaran, Nganjuk, Kabupaten Nganjuk, Jawa Timur, 64419</t>
  </si>
  <si>
    <t>PT Alam Raya Amerta Subur Makmur</t>
  </si>
  <si>
    <t>12011 (INDUSTRI SIGARET KRETEK TANGAN) 12013 (SIGARET KRETEK MESIN)</t>
  </si>
  <si>
    <t xml:space="preserve">RT. 03 RW. 03, BAGORKULON, BAGOR KULON, BAGOR, Kabupaten Nganjuk, Jawa Timur, 64461, </t>
  </si>
  <si>
    <t>UD Jati Makmur Sejahtera</t>
  </si>
  <si>
    <t>46207 (INDUSTRI KAYU)</t>
  </si>
  <si>
    <t>BALONGGEBANG, Balonggebang, Gondang, Kabupaten Nganjuk, Jawa Timur, 64451</t>
  </si>
  <si>
    <t>CV Hutomo Putra</t>
  </si>
  <si>
    <t> 20129 (INDUSTRI PUPUK LAINNYA)</t>
  </si>
  <si>
    <t>DSN. SEKARPUTIH RT 002 RW 001, Putren, Sukomoro, Kabupaten Nganjuk, Jawa Timur, 64481,</t>
  </si>
  <si>
    <t>CV Mahira Grafika</t>
  </si>
  <si>
    <t>18111 (INDUSTRI PERCETAKAN UMUM)</t>
  </si>
  <si>
    <t>Jl. Bengawan Solo II No. 04, Ringinanom, Nganjuk, Kabupaten Nganjuk, Jawa Timur, 64414</t>
  </si>
  <si>
    <t>PR Cengkir Gading</t>
  </si>
  <si>
    <t>12011 (Industri Rokok Kretek)
 12019 (Industri Rokok Klobot)</t>
  </si>
  <si>
    <t>JALAN TAMANAN NO 01 DESA SIDOKARE, SIDOKARE, REJOSO, Kabupaten Nganjuk, Jawa Timur, 64453,</t>
  </si>
  <si>
    <t>PT Agro Bumi Timur</t>
  </si>
  <si>
    <t>20124 (INDUSTRI PUPUK BUATAN CAMPURAN HARA MAKRO BESAR)
 20129 (INDUSTRI PUPUK LAINYA)</t>
  </si>
  <si>
    <t>Jl. Mayjend Supeno, Tempel Wetan, loceret, Kabupaten Nganjuk, Jawa Timur, 64472</t>
  </si>
  <si>
    <t>PR Cahaya Gemilang Indah</t>
  </si>
  <si>
    <t>16221 (industri barang bangunan dari kayu)
 16101 (industri penggergajian kayu)</t>
  </si>
  <si>
    <t>Dusun Garu, RT 02 RW 02, Garu, Baron, Kabupaten Nganjuk, Jawa Timur, 64394</t>
  </si>
  <si>
    <t>PT Bayu bagus Bakry</t>
  </si>
  <si>
    <t>10710 (roti)</t>
  </si>
  <si>
    <t>Jl. Panglima Sudirman KM 104, Dsn. Plimping RT 12 RW 06, Gebangkerep, Baron, Kabupaten Nganjuk, Jawa Timur, 64394</t>
  </si>
  <si>
    <t>10613 (INDUSTRI PENGGILINGAN ANEKA UMBI DAN SAYURAN (TERMASUK RHIZOMA)</t>
  </si>
  <si>
    <t>DESA NGRAJEK, SAMBIREJO, TANJUNGANOM, Kabupaten Nganjuk, Jawa Timur, 64482</t>
  </si>
  <si>
    <t>PT Sumber Plast Indo</t>
  </si>
  <si>
    <t>38302 (DAUR ULANG BARANG BUKAN LOGAM)</t>
  </si>
  <si>
    <t>Dsn. Dingin RT 004 RW 007, Ngronggot, Ngronggot, Kabupaten Nganjuk, Jawa Timur, 64395</t>
  </si>
  <si>
    <t>PT Nadha Karya Utama Indonesia</t>
  </si>
  <si>
    <t>25112 (INDUSTRI BARANG DARI LOGAM ALUMINIUM SIAP PASANG UNTUK BANGUNAN)</t>
  </si>
  <si>
    <t>meter</t>
  </si>
  <si>
    <t>RT/RW 2/2 Sumberkepuh</t>
  </si>
  <si>
    <t>Aneka Keripik Dua Putri</t>
  </si>
  <si>
    <t>Plastik besar</t>
  </si>
  <si>
    <t>RT/RW 3/2 Logawe Sumberkepuh</t>
  </si>
  <si>
    <t>Jamu Gepyok Ibu Sukartian</t>
  </si>
  <si>
    <t>Bungkus</t>
  </si>
  <si>
    <t>RT/RW 6/2 Balongasem, Balongasem</t>
  </si>
  <si>
    <t>Jamu Ibu Suparmi</t>
  </si>
  <si>
    <t>Jamu Bu Suparti</t>
  </si>
  <si>
    <t xml:space="preserve">RT/RW 3/1 Banggle, Banggle </t>
  </si>
  <si>
    <t>Usus crispy bu susiati</t>
  </si>
  <si>
    <t>Usus</t>
  </si>
  <si>
    <t>RT/RW 5/2 Banggle, Banggle</t>
  </si>
  <si>
    <t>Roti basah bu sri wahyu</t>
  </si>
  <si>
    <t>pesanan</t>
  </si>
  <si>
    <t>RT/RW 1/2 Sawahan, Sawahan</t>
  </si>
  <si>
    <t>Ningrat</t>
  </si>
  <si>
    <t>Bubuk Jamu</t>
  </si>
  <si>
    <t>RT/RW 1/2 Banggle, Banggle</t>
  </si>
  <si>
    <t>Cooking 8</t>
  </si>
  <si>
    <t>Roti basah</t>
  </si>
  <si>
    <t>Loyang</t>
  </si>
  <si>
    <t>RT/RW 4/2 Ketandan, Ketandan</t>
  </si>
  <si>
    <t>Tempe Pak Tumaji</t>
  </si>
  <si>
    <t>Potong</t>
  </si>
  <si>
    <t>RT/RW 2/8 Gempol, Ngringin</t>
  </si>
  <si>
    <t>Keripik ibu habibah</t>
  </si>
  <si>
    <t>Keripik Daun Kelor</t>
  </si>
  <si>
    <t>RT/RW 2/1 Banjardowo, Banjardowo</t>
  </si>
  <si>
    <t>Tempe pak yadi</t>
  </si>
  <si>
    <t>Iris</t>
  </si>
  <si>
    <t>RT/RW 7/1 Banjardowo, Banjardowo</t>
  </si>
  <si>
    <t>Tempe pak haji no</t>
  </si>
  <si>
    <t>Jl. Rimbamulya RT/RW 2/6</t>
  </si>
  <si>
    <t>Jaya Abadi Bu Sayuti</t>
  </si>
  <si>
    <t xml:space="preserve">Jl. Menur RT/RW 1/4 </t>
  </si>
  <si>
    <t>Jaya Rasa</t>
  </si>
  <si>
    <t>Sambel Pecel</t>
  </si>
  <si>
    <t>Jl. Melati RT/RW 2/1</t>
  </si>
  <si>
    <t>Tahu pak subur</t>
  </si>
  <si>
    <t>Masakan</t>
  </si>
  <si>
    <t>RT/RW 5/4 Jatisari, Jatipunggur</t>
  </si>
  <si>
    <t>Tempe pak totok</t>
  </si>
  <si>
    <t>RT/RW 11/5 Kedungmlaten</t>
  </si>
  <si>
    <t>Keripik pisang dan singkong</t>
  </si>
  <si>
    <t>RT/RW 3/3 Pulerejo, Dlulurejo</t>
  </si>
  <si>
    <t>Jamu bu deni</t>
  </si>
  <si>
    <t>RT/RW 4/3 Pulerejo, Dlulurejo</t>
  </si>
  <si>
    <t>Tempe bu sunarti</t>
  </si>
  <si>
    <t>RT/RW 3/1 Lumpangkuwik</t>
  </si>
  <si>
    <t>Tempe gembus pak arif</t>
  </si>
  <si>
    <t>Tempe gembus</t>
  </si>
  <si>
    <t>RT/RW 3/2 Lumpangkuwik</t>
  </si>
  <si>
    <t>Berkah tahu</t>
  </si>
  <si>
    <t>RT/RW 1/1 Lumpangkuwik</t>
  </si>
  <si>
    <t>Jamu mbah rip</t>
  </si>
  <si>
    <t>RT/RW 6/4 Begendeng</t>
  </si>
  <si>
    <t>Lely bakery</t>
  </si>
  <si>
    <t>jajanan</t>
  </si>
  <si>
    <t>RT/RW 1/1 Begendeng</t>
  </si>
  <si>
    <t>Tempe pak arifin</t>
  </si>
  <si>
    <t>RT/RW 3/1 Bedendeng</t>
  </si>
  <si>
    <t>Tempe pak supardi</t>
  </si>
  <si>
    <t>RT/RW 9/5 Pinggiran, Munung</t>
  </si>
  <si>
    <t>Kue lapis ibu nurjayanti</t>
  </si>
  <si>
    <t>Kue lapis</t>
  </si>
  <si>
    <t>RT/RW 3/3 Jati</t>
  </si>
  <si>
    <t>Cahaya asa</t>
  </si>
  <si>
    <t xml:space="preserve">Dusun Dukuh Kel/Desa Sugihwaras Kecamatan Prambon </t>
  </si>
  <si>
    <t>UD adelia</t>
  </si>
  <si>
    <t>Penggilingan Pagi Jadi Pk Pecah Kulit</t>
  </si>
  <si>
    <t>kwl</t>
  </si>
  <si>
    <t>Koko jaya</t>
  </si>
  <si>
    <t>Pengolahan Makanan</t>
  </si>
  <si>
    <t>stik raja CJDW</t>
  </si>
  <si>
    <t>Pengolahan Daging Ayam Jadi Naget Atau Sosis</t>
  </si>
  <si>
    <t>Kerupuk Dan Krecek</t>
  </si>
  <si>
    <t>Pengolahan Tepung Jadi Krecek</t>
  </si>
  <si>
    <t xml:space="preserve">Desa Kurungrejo Dusun Ngetrep Kecamatan Prambon </t>
  </si>
  <si>
    <t>Tahu Abas</t>
  </si>
  <si>
    <t>Produksi Tahu</t>
  </si>
  <si>
    <t>Tempe Anwar</t>
  </si>
  <si>
    <t>Industri Tempe</t>
  </si>
  <si>
    <t xml:space="preserve">Desa Kurungrejo Dusun Lumpangrenteng Kecamatan Prambon </t>
  </si>
  <si>
    <t>Tahu Dewi</t>
  </si>
  <si>
    <t>Industri Tahu</t>
  </si>
  <si>
    <t xml:space="preserve">Desa Kurungrejo Dusun Kurungrejo Kecamatan Prambon </t>
  </si>
  <si>
    <t>Pentol Gaul</t>
  </si>
  <si>
    <t>Lapis</t>
  </si>
  <si>
    <t>Produksi Kue Lapis</t>
  </si>
  <si>
    <t>Es Krim Syahroni</t>
  </si>
  <si>
    <t>Pembuatan Es Krim</t>
  </si>
  <si>
    <t>Es Krim Syahrul</t>
  </si>
  <si>
    <t xml:space="preserve">Dusun Ngetrep Desa Kurungrejo Kecamatan Prambon </t>
  </si>
  <si>
    <t>Tahu Mugiono</t>
  </si>
  <si>
    <t>Pengerajin Tahu</t>
  </si>
  <si>
    <t>Kardus Dan Kue Ning</t>
  </si>
  <si>
    <t>Kue Ning</t>
  </si>
  <si>
    <t>Roti Rizky</t>
  </si>
  <si>
    <t>Industri Roti</t>
  </si>
  <si>
    <t>Pentol Fatoni</t>
  </si>
  <si>
    <t xml:space="preserve">Pembuatan Pentol Atau Cilok </t>
  </si>
  <si>
    <t>Produksi Tempe</t>
  </si>
  <si>
    <t>Dusun Watudandang Desa Watudandang Kecamatan Prambon</t>
  </si>
  <si>
    <t>Sambel Pecel Bunda Vino</t>
  </si>
  <si>
    <t xml:space="preserve">Pengolahan Kacang </t>
  </si>
  <si>
    <t xml:space="preserve">Dusun Nanggungan Desa Watudandang Kecamatan Prambon </t>
  </si>
  <si>
    <t>Getuk Pisang Subeki</t>
  </si>
  <si>
    <t>Produsen Gethuk Pisang Subeki</t>
  </si>
  <si>
    <t>Getuk Pisang Aslli</t>
  </si>
  <si>
    <t>Produsen Gethuk Pisang Asli</t>
  </si>
  <si>
    <t>Getuk Pisang Andi</t>
  </si>
  <si>
    <t>Produsen Getuk Pisang</t>
  </si>
  <si>
    <t xml:space="preserve">pcs </t>
  </si>
  <si>
    <t>Getuk Pisang Edy</t>
  </si>
  <si>
    <t xml:space="preserve">Produsen Gethuk Pisang Dan Tahu Taqwa </t>
  </si>
  <si>
    <t xml:space="preserve">Dusun Sobontoro Desa Watudandang Kecamatan Prambon </t>
  </si>
  <si>
    <t>Getuk Pisang Poo</t>
  </si>
  <si>
    <t>Tahu Mbk Siti</t>
  </si>
  <si>
    <t>Produsen Tahu Siti</t>
  </si>
  <si>
    <t xml:space="preserve">Dusun Tunggulrejo Desa Watudandang Kecamatan Prambon </t>
  </si>
  <si>
    <t>Puli Nyoto</t>
  </si>
  <si>
    <t>Produksi Krecek Puli</t>
  </si>
  <si>
    <t xml:space="preserve">Puli Patonah </t>
  </si>
  <si>
    <t>Produksi Krecek Puli Patonah</t>
  </si>
  <si>
    <t>Istianah</t>
  </si>
  <si>
    <t xml:space="preserve">Produksi Tahu  </t>
  </si>
  <si>
    <t xml:space="preserve">Dusun Rowoharjo Desa Rowoharjo Kecamatan Prambon </t>
  </si>
  <si>
    <t xml:space="preserve">Getuk Pisang Cipto </t>
  </si>
  <si>
    <t>Produksi Getuk Pisang Cipto</t>
  </si>
  <si>
    <t>Tahu Muryadi</t>
  </si>
  <si>
    <t>Pengolahan Kedelai</t>
  </si>
  <si>
    <t>Catering Giri Tirta</t>
  </si>
  <si>
    <t xml:space="preserve">Dusun Gedong Desa Tanjungtani Kecamatan Prambon </t>
  </si>
  <si>
    <t>Tahu Marjuki</t>
  </si>
  <si>
    <t>Produsen Tahu Marjuki</t>
  </si>
  <si>
    <t xml:space="preserve">Dusun/Desa Tanjungtani Kecamatan Prambon </t>
  </si>
  <si>
    <t>Tempe Bu Siti</t>
  </si>
  <si>
    <t>Produksi Tempe Bu Siti</t>
  </si>
  <si>
    <t>Tempe Kasiatun</t>
  </si>
  <si>
    <t xml:space="preserve">Produksi Tempe </t>
  </si>
  <si>
    <t xml:space="preserve">Desa/Dusun Mojoagung Kecamatan Prambon </t>
  </si>
  <si>
    <t xml:space="preserve">Tempe Pak Miftah </t>
  </si>
  <si>
    <t>Tahu Tempe Umi</t>
  </si>
  <si>
    <t>Produksi Tahu Tempe Umi</t>
  </si>
  <si>
    <t>Tahu Rofik</t>
  </si>
  <si>
    <t>Siti Maslikah</t>
  </si>
  <si>
    <t xml:space="preserve">Desa/Dusun Bandung Kecamatan Prambon </t>
  </si>
  <si>
    <t>Tape Supriyadi</t>
  </si>
  <si>
    <t>Produksi Tape</t>
  </si>
  <si>
    <t>Recek Sawut Suhendi</t>
  </si>
  <si>
    <t>Produksi Krecek Sawut</t>
  </si>
  <si>
    <t>1,8</t>
  </si>
  <si>
    <t xml:space="preserve">kwintal </t>
  </si>
  <si>
    <t>Desa Baleturi Dusun Bandung Kecamatan Prambon</t>
  </si>
  <si>
    <t>Tape Joko</t>
  </si>
  <si>
    <t>Pengolahan Ketela</t>
  </si>
  <si>
    <t>Tape Mujib</t>
  </si>
  <si>
    <t>Tape Hadmuj</t>
  </si>
  <si>
    <t>Ariyanto</t>
  </si>
  <si>
    <t xml:space="preserve">Dusun/Desa Nglawak Kecamatan Prambon </t>
  </si>
  <si>
    <t>Tahu Ehsan</t>
  </si>
  <si>
    <t xml:space="preserve">Dusun/Desa Sonoageng Kecamatan Prambon </t>
  </si>
  <si>
    <t>Tempe Juwito</t>
  </si>
  <si>
    <t>Tempe Sunarsih</t>
  </si>
  <si>
    <t xml:space="preserve">Dusun/Desa Tegaron Kecamatan Prambon </t>
  </si>
  <si>
    <t>Tahu Pak Muda'Ib</t>
  </si>
  <si>
    <t xml:space="preserve">Dusun Prambon Desa Tegaron Kecamatan Prambon </t>
  </si>
  <si>
    <t>Bintang Jamu</t>
  </si>
  <si>
    <t>Pengolahaan Minuman Herbal</t>
  </si>
  <si>
    <t>Kerupuk Gaplek</t>
  </si>
  <si>
    <t>Pengolahan Kerupuk</t>
  </si>
  <si>
    <t>Kunir Asem Ndeso</t>
  </si>
  <si>
    <t>Pengolahan Minuman Herbal</t>
  </si>
  <si>
    <t>Tahu Sri</t>
  </si>
  <si>
    <t>Peyek Sumiati</t>
  </si>
  <si>
    <t xml:space="preserve">Kerupuk Rempeyek </t>
  </si>
  <si>
    <t xml:space="preserve">Dusun/Desa Sanggrahan Kecamatan Prambon </t>
  </si>
  <si>
    <t>Tahu Budi</t>
  </si>
  <si>
    <t xml:space="preserve">Pengolahan Kedelai </t>
  </si>
  <si>
    <t xml:space="preserve">Desa Gondanglegi Dusun Combre Kecamatan Prambon </t>
  </si>
  <si>
    <t>Tahu Gatot</t>
  </si>
  <si>
    <t xml:space="preserve">Desa Gondanglegi Dusun Gondanglegi Kecamatan Prambon </t>
  </si>
  <si>
    <t>Donat Toping</t>
  </si>
  <si>
    <t>Pengolahan Donat</t>
  </si>
  <si>
    <t>Tahu Udin</t>
  </si>
  <si>
    <t xml:space="preserve">Desa Tanjungtani Kecamatan Prambon </t>
  </si>
  <si>
    <t>Berkah Jaya</t>
  </si>
  <si>
    <t xml:space="preserve">Pengolahan Kerupuk </t>
  </si>
  <si>
    <t>RT/RW 2/1 Perning</t>
  </si>
  <si>
    <t>Jamu bu winarsih</t>
  </si>
  <si>
    <t>RT/RW 6/3 Ngasem</t>
  </si>
  <si>
    <t>Keripik Tempe Ar Rahma</t>
  </si>
  <si>
    <t>Firma</t>
  </si>
  <si>
    <t>Gombyok</t>
  </si>
  <si>
    <t>RT/RW 3/1 Ndoro, Ngasem</t>
  </si>
  <si>
    <t>Bakoel Kripik</t>
  </si>
  <si>
    <t>Keripik dan kacang asin</t>
  </si>
  <si>
    <t>RT/RW 12/6 Ngasem</t>
  </si>
  <si>
    <t>Kacang asin Yasmin</t>
  </si>
  <si>
    <t>Kacang asin</t>
  </si>
  <si>
    <t>RT/RW 2/3 Begendeng</t>
  </si>
  <si>
    <t>Tempe pak sumadi</t>
  </si>
  <si>
    <t>Musir Lor</t>
  </si>
  <si>
    <t>RT/RW 1/4 Talang</t>
  </si>
  <si>
    <t>Tahu dan Tahu goreng bu Aniek</t>
  </si>
  <si>
    <t>RT/RW 1/1 Klagen</t>
  </si>
  <si>
    <t>Kerupuk Tahu</t>
  </si>
  <si>
    <t>Jl. Wilis RT/RW 3/1 Klagen</t>
  </si>
  <si>
    <t>Keripik pare</t>
  </si>
  <si>
    <t>Jl. Wilis RT/RW 7/3 Klagen</t>
  </si>
  <si>
    <t>Kerupuk Bakar</t>
  </si>
  <si>
    <t>Embun Kenanga Karya Agung</t>
  </si>
  <si>
    <t>Dusun Song-song Desa Jatikalen Kec. Jatikalen, Kab. Nganjuk</t>
  </si>
  <si>
    <t>PT Metal Manufakturing Indonesia</t>
  </si>
  <si>
    <t>Kaleng</t>
  </si>
  <si>
    <t>Piece</t>
  </si>
  <si>
    <t>JL.Jaksa Agung Suprapto, Warujayeng, Tanjunganom, Kabupaten Nganjuk</t>
  </si>
  <si>
    <t>PT Adhitama Sejahtera Alami</t>
  </si>
  <si>
    <t>Rokok Kretek</t>
  </si>
  <si>
    <t>Jalan Arum Dalu, Gandu, Bagor, Kabupaten Nganjuk, Jawa Timur</t>
  </si>
  <si>
    <t>PT Borneo Jaya Sakti</t>
  </si>
  <si>
    <t>Industri Mortar atau Beton Siap Pakai</t>
  </si>
  <si>
    <t>Jl. Klumpit III, RT 002 RW 001, Desa Kurungrejo Kec. Prambon Kab. Nganjuk</t>
  </si>
  <si>
    <t>BIO INDUSTRI GLOBAL</t>
  </si>
  <si>
    <t>Industri Minyak Atsiri</t>
  </si>
  <si>
    <t>Jl. Raya Baron RT 02 RW 06 Desa Baron Kec. Baron Kab. Nganjuk</t>
  </si>
  <si>
    <t>BATIK BAYU KRISNA</t>
  </si>
  <si>
    <t>Dusun Pancar, Desa Demangan, Kec. Tanjunganom, Kab. Nganjuk</t>
  </si>
  <si>
    <t>PT Perorangan Gunung Rejeki Agung</t>
  </si>
  <si>
    <t xml:space="preserve">Rokok Kretek </t>
  </si>
  <si>
    <t>Perum Baron Timur F/3 Kec. Baron Kab. Nganjuk</t>
  </si>
  <si>
    <t>Tri Zaha</t>
  </si>
  <si>
    <t>Desa Sukoharjo Kec. Wilangan Kab. Nganjuk</t>
  </si>
  <si>
    <t>Yuk Serr</t>
  </si>
  <si>
    <t>Jl. Diponegoro VI/29 Kec. Nganjuk Kab. Nganjuk</t>
  </si>
  <si>
    <t>Ayya Aksa Food</t>
  </si>
  <si>
    <t>Pcs</t>
  </si>
  <si>
    <t>Jalan KH.Wachid Hasyim No. 138, Banaran, Kertosono, Kabupaten Nganjuk</t>
  </si>
  <si>
    <t>CV Sidodadi</t>
  </si>
  <si>
    <t>Pakaian Konveksi</t>
  </si>
  <si>
    <t>Perumnas Candirejo Blok J 15 Desa Candirejo Kec. Loceret</t>
  </si>
  <si>
    <t>Shabia Cookies</t>
  </si>
  <si>
    <t>Kelurahan Werungotok Kec. Nganjuk</t>
  </si>
  <si>
    <t>TawaTahu</t>
  </si>
  <si>
    <t>Tahu walik</t>
  </si>
  <si>
    <t>Jalan Semeru 64, Tanjungrejo, Loceret, Kabupaten Nganjuk</t>
  </si>
  <si>
    <t>CV Karya Perdana Makmur</t>
  </si>
  <si>
    <t>INDUSTRI SIGARET KRETEK TANGAN</t>
  </si>
  <si>
    <t>Dsn.katogan RT/RW .01/02, Sendangbumen, Berbek, Kabupaten Nganjuk</t>
  </si>
  <si>
    <t>PR Sri Umiati Ds</t>
  </si>
  <si>
    <t>sigaret kretek tangan, tembakau iris (TIS)</t>
  </si>
  <si>
    <t>JL. Raya Nganjuk Gondang KM 5, Gempol, Rejoso, Kabupaten Nganjuk</t>
  </si>
  <si>
    <t>PT CAPGLOBAL INDUSTRY INTERNATIONAL</t>
  </si>
  <si>
    <t>Industri Pembuatan Topi</t>
  </si>
  <si>
    <t>Jalan PG Lestari, Ngrombot, Patianrowo, Kabupaten Nganjuk</t>
  </si>
  <si>
    <t>CV Agung Karya Bhinneka</t>
  </si>
  <si>
    <t>Sigaret Kretek Tangan</t>
  </si>
  <si>
    <t>Jalan Raya Nganjuk - Gondang, Dusun Gebangayu, Kedungdowo, Nganjuk, Kabupaten Nganjuk</t>
  </si>
  <si>
    <t>PT Karya Niaga Bersama</t>
  </si>
  <si>
    <t>Industri Rokok Kretek</t>
  </si>
  <si>
    <t>Jalan Raya Lengkong -Jatikalen, Ds. Prayungan, Kec. Lengkong, Nganjuk</t>
  </si>
  <si>
    <t>PT Trijaya Lestari Food</t>
  </si>
  <si>
    <t>INDUSTRI PENGOLAHAN DAN PENGAWETAN PRODUK DAGING DAN DAGING UNGGAS</t>
  </si>
  <si>
    <t xml:space="preserve"> JL. Raya Nganjuk-Madiun, Bagor Kulon, Bagor, Kabupaten Nganjuk</t>
  </si>
  <si>
    <t>PT Zhanhui Jaya Indonesia</t>
  </si>
  <si>
    <t>Dsn. Kedungregul, Sambirejo, Tanjunganom, Kabupaten Nganjuk</t>
  </si>
  <si>
    <t>PT Prominen Abadi Sentosa</t>
  </si>
  <si>
    <t xml:space="preserve">Industri Sepatu dan Tas </t>
  </si>
  <si>
    <t xml:space="preserve"> Jl. Merdeka II No.3G RT.01/RW01, Mangundikaran, Nganjuk, Kabupaten Nganjuk</t>
  </si>
  <si>
    <t>PR. Fety Kusuma Dewi</t>
  </si>
  <si>
    <t>Telur asin</t>
  </si>
  <si>
    <t>Jl.Barito I No.30 Rt/Rw 005/007 Kelurahan Mangundikaran, Kecamatan Nganjuk, Kabupaten Nganjuk</t>
  </si>
  <si>
    <t>PR.Sitta Nurrina Hasyim</t>
  </si>
  <si>
    <t>Jl. AR. Saleh No. 78, Kauman, Nganjuk, Kabupaten Nganjuk</t>
  </si>
  <si>
    <t>PR Tutut Heri Wijayanto</t>
  </si>
  <si>
    <t>cetak banner</t>
  </si>
  <si>
    <t xml:space="preserve">Jl.Supriyadi No.24, Kauman </t>
  </si>
  <si>
    <t xml:space="preserve">PT.Persada Nawa Kartika </t>
  </si>
  <si>
    <t xml:space="preserve">Air Minum Dalam Kemasan </t>
  </si>
  <si>
    <t>Dsn. Ngrombot RT/RW 02/04 Ds. Selorejo</t>
  </si>
  <si>
    <t>Kerajinan Gamelan Darmo Laras</t>
  </si>
  <si>
    <t>Bulakrejo, Desa Warujayeng</t>
  </si>
  <si>
    <t>Anaya</t>
  </si>
  <si>
    <t>NIB dan Sertifikat Halal ID35110000700811122</t>
  </si>
  <si>
    <t xml:space="preserve"> Jalan Widas No. 19, Begadung, Nganjuk, Kabupaten Nganjuk</t>
  </si>
  <si>
    <t>PT Putra Buana Bersama</t>
  </si>
  <si>
    <t>Dsn Kacangan RT009 RW003, Kacangan, Berbek, Kabupaten Nganjuk</t>
  </si>
  <si>
    <t>PR Mochamad Subekhan Aizis</t>
  </si>
  <si>
    <t>Jl. Lurah S. Kartoprawiro, Kacangan, Berbek, Kabupaten Nganjuk</t>
  </si>
  <si>
    <t xml:space="preserve"> PR H.Sahid</t>
  </si>
  <si>
    <t>Dusun Jajar, Sumberkepuh, Tanjunganom, Kabupaten Nganjuk</t>
  </si>
  <si>
    <t>CV Ratu Jaya Gemilang</t>
  </si>
  <si>
    <t>Dsn. Jogomerto, RT 001 RW 003, Kel/Ds. Jogomerto, Kec. Tanjunganom, Kab. Nganjuk</t>
  </si>
  <si>
    <t>PT Semulur Jaya Makmur</t>
  </si>
  <si>
    <t>Industri Pupuk</t>
  </si>
  <si>
    <t>Kecubung, Kecubung, Pace, Kabupaten Nganjuk</t>
  </si>
  <si>
    <t>PT Manunggal Merdeka Makmur</t>
  </si>
  <si>
    <t>Pupuk Hayati Cair</t>
  </si>
  <si>
    <t>JL RAYA SURABAYA MADIUN Km 100, Gebangkerep, Baron, Kabupaten Nganjuk</t>
  </si>
  <si>
    <t>PT Indoprima Gemilang</t>
  </si>
  <si>
    <t>INDUSTRI SUKU CADANG DAN AKSESORI KENDARAAN BERMOTOR RODA EMPAT ATAU LEBIH</t>
  </si>
  <si>
    <t>Dsn. Mojorjo Desa Plosoharjo Kec. Pace Kab. Nganjuk</t>
  </si>
  <si>
    <t>UD Berkah Alam</t>
  </si>
  <si>
    <t>Kacang kulit oven</t>
  </si>
  <si>
    <t>Dusun Jati Ds. Jatikalen Kec. Jatikalen Kab. Nganjuk</t>
  </si>
  <si>
    <t>PADI DESA</t>
  </si>
  <si>
    <t>Industri Tepung Beras Dan Tepung Jagung</t>
  </si>
  <si>
    <t>Jl. Murya Dsn. Ngaglik Desa Cerme Kec. Pace Kab. Nganjuk</t>
  </si>
  <si>
    <t>UD. Karunia Jaya Abadi</t>
  </si>
  <si>
    <t>Tembarak Gg II, Desa/Kelurahan Tembarak, Kec. Kertosono, Kab.
Nganjuk</t>
  </si>
  <si>
    <t>ANIS WISANTI</t>
  </si>
  <si>
    <t>Industri Tepung dan Makanan Olahan</t>
  </si>
  <si>
    <t>Jl. Apokat, Desa/Kelurahan Mlandangan, Kec. Pace, Kab. Nganjuk</t>
  </si>
  <si>
    <t>SHAKURA ANUGERAH SEJAHTERA</t>
  </si>
  <si>
    <t>Industri Pakaian Jadi (Konveksi) Dari Tekstil</t>
  </si>
  <si>
    <t>Jl. Raya Nganjuk kertosono, Kedungsoko, Sukomoro, Kabupaten Nganjuk</t>
  </si>
  <si>
    <t>PT Lotus Indah Textile Industries</t>
  </si>
  <si>
    <t>INDUSTRI PEMINTALAN BENANG</t>
  </si>
  <si>
    <t>Jalan Bengawan Solo, Kelurahan Werungotok, Putren, Sukomoro, Kabupaten Nganjuk</t>
  </si>
  <si>
    <t>PT Indo Pack Printing</t>
  </si>
  <si>
    <t>Industri Percetakan Umum</t>
  </si>
  <si>
    <t>DUSUN BULUREJO, Sawahan, Sawahan, Kabupaten Nganjuk</t>
  </si>
  <si>
    <t>CV Indo Atsiri</t>
  </si>
  <si>
    <t>Jl. Merdeka Timur Rt. 003, RW. 005, Lengkong, Lengkong, Kabupaten Nganjuk</t>
  </si>
  <si>
    <t>CV Sinar Baja Electric Co Ltd</t>
  </si>
  <si>
    <t>Industri peralatan audio dan video elektronik lainnya</t>
  </si>
  <si>
    <t xml:space="preserve"> JALAN SURABAYA-MADIUN KM 115,8 Kelurahan Kecamatan, Pehserut, Sukomoro, Kabupaten Nganjuk</t>
  </si>
  <si>
    <t>PT Tirta Sukses Perkasa</t>
  </si>
  <si>
    <t>Industri Air Minum Dalam Kemasan</t>
  </si>
  <si>
    <t>Jl. Artikan RT.001 RW.001, Kecubung, Pace, Kabupaten Nganjuk</t>
  </si>
  <si>
    <t>PT Limmas Anugrah Plasindo</t>
  </si>
  <si>
    <t>INDUSTRI TERPAL PLASTIK</t>
  </si>
  <si>
    <t>Jl. Raya DPU Desa Jegreg Kec Lengkong Kab Nganjuk, Jegreg, Lengkong, Kabupaten Nganjuk</t>
  </si>
  <si>
    <t>PT Sinar Jaya Prima Perkasa</t>
  </si>
  <si>
    <t>Industri Barang Dari Plastik Untuk Pengemasan (Karung &amp; Terpal</t>
  </si>
  <si>
    <t xml:space="preserve">kilogram </t>
  </si>
  <si>
    <t>Dusun Ngrombot, RT 02 RW 001, Ngrombot, Patianrowo, Kabupaten Nganjuk</t>
  </si>
  <si>
    <t>PT Sinergi Gula Nusantara</t>
  </si>
  <si>
    <t>Industri Gula Pasir berbahan baku Tebu</t>
  </si>
  <si>
    <t>JL. RAYA NGANJUK-GONDANG KM 5.5 NO. 88, Gempol, Rejoso, Kabupaten Nganjuk</t>
  </si>
  <si>
    <t>PT Mitra Saruta Indonesia</t>
  </si>
  <si>
    <t>INDUSTRI PEMINTALAN BENANG,INDUSTRI PERLENGKAPAN PAKAIAN DARI TEKSTIL</t>
  </si>
  <si>
    <t>Babadan, Babadan, Pace, Kabupaten Nganjuk</t>
  </si>
  <si>
    <t>PT Gudang Garam Tbk</t>
  </si>
  <si>
    <t>Industri Sigaret kretek tangan</t>
  </si>
  <si>
    <t>Dusun Songsong RT 12 RW 02 Desa Jatikalen, Jatikalen</t>
  </si>
  <si>
    <t>PT Cahaya Poles Mulia</t>
  </si>
  <si>
    <t>Industri Tekstil Lainnya Ytdl (kecuali pakaian jadi) dan Industri Sabun Dan Bahan Pembersih Keperluan Rumah Tangga</t>
  </si>
  <si>
    <t>Jl. Raya Surabaya Madiun Km 99, Desa Kepuh, Kertosono, Kabupaten Nganjuk</t>
  </si>
  <si>
    <t xml:space="preserve"> PT JAYA KERTAS</t>
  </si>
  <si>
    <t>Industri Kertas</t>
  </si>
  <si>
    <t>Jl. Guyangan No 86, Kerepkidul, Bagor, Kabupaten Nganjuk, Jawa Timur</t>
  </si>
  <si>
    <t>PT EAGLE SPORTING GOODS</t>
  </si>
  <si>
    <t xml:space="preserve">Industri Barang Dari Kulit Dan Kulit Buatan Untuk Keperluan Pribadi </t>
  </si>
  <si>
    <t>Jalan MT. Haryono 19, Desa/Kelurahan Ploso, Kec. Nganjuk Kab. Nganjuk Provinsi Jawa Timur</t>
  </si>
  <si>
    <t>PR Rining Indriani, Bsc</t>
  </si>
  <si>
    <t>Bawang Goreng</t>
  </si>
  <si>
    <t>Jl. Raya Guyangan No. 88 ds. Kerepkidul, kec. Bagor, Kerepkidul, Bagor, Kabupaten Nganjuk, Jawa Timur</t>
  </si>
  <si>
    <t>PT Kharisma Baru Indonesia</t>
  </si>
  <si>
    <t>Industri Alas Kaki Untuk Keperluan Sehari-hari</t>
  </si>
  <si>
    <t>pasang</t>
  </si>
  <si>
    <t>Raya Jegreg DPU, Jegreg, Lengkong, Kabupaten Nganjuk, Jawa Timur</t>
  </si>
  <si>
    <t>PT Gunawan Fajar</t>
  </si>
  <si>
    <t>Industri Barang Dari Plastik Untuk Pengemasan</t>
  </si>
  <si>
    <t>Panglima sudirman No. 02 RT.001 RW.002, Bulu, Berbek, Kabupaten Nganjuk, Jawa Timur</t>
  </si>
  <si>
    <t>PT Rimba Damai Sejahtera</t>
  </si>
  <si>
    <t>Industri Rokok</t>
  </si>
  <si>
    <t>JL. Lengkong-Jatikalen, Ngasem, Jatikalen, Kabupaten Nganjuk, Jawa Timur</t>
  </si>
  <si>
    <t>PT Karunia Ultima Kemasan</t>
  </si>
  <si>
    <t>Jalan Gondang-Lengkong, Gondangkulon, Gondang, Kabupaten Nganjuk, Jawa Timur</t>
  </si>
  <si>
    <t>PT Sukses Abadi Indonesia</t>
  </si>
  <si>
    <t>Industri Sepatu Olah Raga</t>
  </si>
  <si>
    <t>PT Rimba Kawan Nusantara</t>
  </si>
  <si>
    <t xml:space="preserve">Industri Sigaret Kretek Tangan, Industri Rokok Putih, Industri Rokok Lainnya </t>
  </si>
  <si>
    <t>Jl. Raya Panglima Sudirman KM 04, Dsn. Klinter, Kec. Kertosono, Kab. Nganjuk</t>
  </si>
  <si>
    <t>PT Indofood Sukses Makmur Tbk</t>
  </si>
  <si>
    <t>Tepung Terigu</t>
  </si>
  <si>
    <t>Jl Joko Tole, Campur, Gondang, Kabupaten Nganjuk, Jawa Timur</t>
  </si>
  <si>
    <t xml:space="preserve"> PT Dian Anugerah Permata</t>
  </si>
  <si>
    <t>Industri Rokok Kretek Tangan</t>
  </si>
  <si>
    <t>Jl Mastrip no 37, Ganung Kidul, Nganjuk, Kabupaten Nganjuk, Jawa Timur</t>
  </si>
  <si>
    <t xml:space="preserve"> PR Kurnia Hidayati</t>
  </si>
  <si>
    <t>Dusun Nglaban Desa Babadan Kec. Patianrowo Kab. Nganjuk</t>
  </si>
  <si>
    <t>UD Cahaya Biru</t>
  </si>
  <si>
    <t>Jalan Dipoyono no 14, Guyangan, Bagor, Kabupaten Nganjuk</t>
  </si>
  <si>
    <t>PT Hanjaya Mandala Sampoerna Tbk</t>
  </si>
  <si>
    <t>Jl. Gondang - Lengkong, Sempayang, Ja"an, Ja"an, Gondang, Kabupaten Nganjuk</t>
  </si>
  <si>
    <t>PT Mitramulia Makmur</t>
  </si>
  <si>
    <t>Kemasan Plastik</t>
  </si>
  <si>
    <t>Dusun Sono RT 004 RW 003 Desa Sonopatik Kec. Berbek Kab. Nganjuk</t>
  </si>
  <si>
    <t>Dapur Sehat Umik</t>
  </si>
  <si>
    <t>Keripik pisang, keripik tempe, stik bawang</t>
  </si>
  <si>
    <t>Jl. Raya Lengkong - Jatikalen, Prayungan, Lengkong, Kabupaten Nganjuk</t>
  </si>
  <si>
    <t>PT Harapan Jaya Liman</t>
  </si>
  <si>
    <t>Industri percetakan kain</t>
  </si>
  <si>
    <t>Jalan Rejoso - Gondang, Ngangkatan, Rejoso, Kabupaten Nganjuk</t>
  </si>
  <si>
    <t>PT Belfoods Indonesia</t>
  </si>
  <si>
    <t>Sosis, Chiken Nugget</t>
  </si>
  <si>
    <t>Provinsi</t>
  </si>
  <si>
    <t>Kabupaten</t>
  </si>
  <si>
    <t>Tahun</t>
  </si>
  <si>
    <t>Jawa Timur</t>
  </si>
  <si>
    <t>Nilai Produksi (Rp)</t>
  </si>
  <si>
    <t>Satuan</t>
  </si>
  <si>
    <t>Nama Produk</t>
  </si>
  <si>
    <t>Nama Perusahaan</t>
  </si>
  <si>
    <t>Bentuk Badan Usaha</t>
  </si>
  <si>
    <t>Jalan /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</si>
</sst>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[$-409]dd\-mmm\-yy;@"/>
    <numFmt numFmtId="168" formatCode="_(* #,##0.0_);_(* \(#,##0.0\);_(* &quot;-&quot;_);_(@_)"/>
    <numFmt numFmtId="169" formatCode="[$-409]d\-mmm\-yy;@"/>
    <numFmt numFmtId="170" formatCode="#,##0;[Red]#,##0"/>
    <numFmt numFmtId="171" formatCode="_(* #,##0.0_);_(* \(#,##0.0\);_(* &quot;-&quot;??_);_(@_)"/>
    <numFmt numFmtId="172" formatCode="_(* #,##0.00_);_(* \(#,##0.00\);_(* &quot;-&quot;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1"/>
      <name val="Calibri"/>
      <family val="2"/>
      <charset val="1"/>
      <scheme val="minor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193">
    <xf numFmtId="0" fontId="0" fillId="0" borderId="0" xfId="0"/>
    <xf numFmtId="0" fontId="3" fillId="0" borderId="0" xfId="2" applyFont="1" applyAlignment="1">
      <alignment horizontal="center"/>
    </xf>
    <xf numFmtId="0" fontId="3" fillId="0" borderId="0" xfId="2" applyFont="1"/>
    <xf numFmtId="1" fontId="3" fillId="0" borderId="0" xfId="2" applyNumberFormat="1" applyFont="1"/>
    <xf numFmtId="164" fontId="3" fillId="0" borderId="0" xfId="3" applyFont="1" applyFill="1" applyAlignment="1">
      <alignment horizontal="right"/>
    </xf>
    <xf numFmtId="0" fontId="3" fillId="0" borderId="0" xfId="2" applyFont="1" applyAlignment="1">
      <alignment horizontal="left"/>
    </xf>
    <xf numFmtId="164" fontId="3" fillId="0" borderId="0" xfId="3" applyFont="1" applyFill="1"/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1" fontId="3" fillId="0" borderId="8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/>
    </xf>
    <xf numFmtId="164" fontId="3" fillId="0" borderId="1" xfId="3" applyFont="1" applyFill="1" applyBorder="1" applyAlignment="1">
      <alignment horizontal="right" vertical="center"/>
    </xf>
    <xf numFmtId="164" fontId="3" fillId="0" borderId="1" xfId="3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 wrapText="1"/>
    </xf>
    <xf numFmtId="164" fontId="3" fillId="0" borderId="1" xfId="3" applyFont="1" applyFill="1" applyBorder="1" applyAlignment="1">
      <alignment horizontal="right" vertical="center" wrapText="1"/>
    </xf>
    <xf numFmtId="167" fontId="3" fillId="0" borderId="8" xfId="2" applyNumberFormat="1" applyFont="1" applyBorder="1" applyAlignment="1">
      <alignment horizontal="center" vertical="center"/>
    </xf>
    <xf numFmtId="0" fontId="3" fillId="0" borderId="5" xfId="2" applyFont="1" applyBorder="1"/>
    <xf numFmtId="0" fontId="3" fillId="0" borderId="8" xfId="2" applyFont="1" applyBorder="1" applyAlignment="1">
      <alignment horizontal="center" vertical="center"/>
    </xf>
    <xf numFmtId="15" fontId="3" fillId="0" borderId="9" xfId="2" quotePrefix="1" applyNumberFormat="1" applyFont="1" applyBorder="1" applyAlignment="1">
      <alignment horizontal="center" vertical="center"/>
    </xf>
    <xf numFmtId="15" fontId="3" fillId="0" borderId="10" xfId="2" quotePrefix="1" applyNumberFormat="1" applyFont="1" applyBorder="1" applyAlignment="1">
      <alignment horizontal="center" vertical="center"/>
    </xf>
    <xf numFmtId="168" fontId="3" fillId="0" borderId="1" xfId="3" applyNumberFormat="1" applyFont="1" applyFill="1" applyBorder="1" applyAlignment="1">
      <alignment horizontal="right" vertical="center" wrapText="1"/>
    </xf>
    <xf numFmtId="164" fontId="3" fillId="0" borderId="1" xfId="3" applyFont="1" applyFill="1" applyBorder="1" applyAlignment="1">
      <alignment vertical="center" wrapText="1"/>
    </xf>
    <xf numFmtId="15" fontId="3" fillId="0" borderId="9" xfId="2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1" xfId="2" applyFont="1" applyBorder="1" applyAlignment="1">
      <alignment vertical="center" wrapText="1"/>
    </xf>
    <xf numFmtId="169" fontId="3" fillId="0" borderId="8" xfId="2" applyNumberFormat="1" applyFont="1" applyBorder="1" applyAlignment="1">
      <alignment horizontal="center" vertical="center"/>
    </xf>
    <xf numFmtId="170" fontId="3" fillId="0" borderId="1" xfId="2" applyNumberFormat="1" applyFont="1" applyBorder="1" applyAlignment="1">
      <alignment horizontal="right" vertical="center" wrapText="1"/>
    </xf>
    <xf numFmtId="0" fontId="3" fillId="0" borderId="1" xfId="2" applyFont="1" applyBorder="1" applyAlignment="1">
      <alignment horizontal="right" vertical="center" wrapText="1"/>
    </xf>
    <xf numFmtId="0" fontId="3" fillId="0" borderId="5" xfId="2" applyFont="1" applyBorder="1" applyAlignment="1">
      <alignment vertical="center" wrapText="1"/>
    </xf>
    <xf numFmtId="166" fontId="3" fillId="0" borderId="1" xfId="4" applyNumberFormat="1" applyFont="1" applyFill="1" applyBorder="1" applyAlignment="1">
      <alignment horizontal="right" vertical="center" wrapText="1"/>
    </xf>
    <xf numFmtId="166" fontId="3" fillId="0" borderId="1" xfId="4" applyNumberFormat="1" applyFont="1" applyFill="1" applyBorder="1" applyAlignment="1">
      <alignment vertical="center" wrapText="1"/>
    </xf>
    <xf numFmtId="14" fontId="3" fillId="0" borderId="8" xfId="2" applyNumberFormat="1" applyFont="1" applyBorder="1" applyAlignment="1">
      <alignment horizontal="center" vertical="center"/>
    </xf>
    <xf numFmtId="169" fontId="3" fillId="0" borderId="9" xfId="2" applyNumberFormat="1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right" vertical="center" wrapText="1"/>
    </xf>
    <xf numFmtId="171" fontId="3" fillId="0" borderId="1" xfId="4" applyNumberFormat="1" applyFont="1" applyFill="1" applyBorder="1" applyAlignment="1">
      <alignment horizontal="right" vertical="center" wrapText="1"/>
    </xf>
    <xf numFmtId="0" fontId="3" fillId="0" borderId="9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67" fontId="3" fillId="0" borderId="9" xfId="2" applyNumberFormat="1" applyFont="1" applyBorder="1" applyAlignment="1">
      <alignment horizontal="center" vertical="center"/>
    </xf>
    <xf numFmtId="167" fontId="3" fillId="0" borderId="8" xfId="2" applyNumberFormat="1" applyFont="1" applyBorder="1" applyAlignment="1">
      <alignment horizontal="center" vertical="center" wrapText="1"/>
    </xf>
    <xf numFmtId="1" fontId="3" fillId="0" borderId="0" xfId="2" applyNumberFormat="1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2" xfId="2" applyFont="1" applyBorder="1" applyAlignment="1">
      <alignment vertical="center" wrapText="1"/>
    </xf>
    <xf numFmtId="0" fontId="3" fillId="0" borderId="6" xfId="2" applyFont="1" applyBorder="1" applyAlignment="1">
      <alignment vertical="center" wrapText="1"/>
    </xf>
    <xf numFmtId="3" fontId="3" fillId="0" borderId="1" xfId="3" applyNumberFormat="1" applyFont="1" applyFill="1" applyBorder="1" applyAlignment="1">
      <alignment horizontal="right" vertical="center" wrapText="1"/>
    </xf>
    <xf numFmtId="0" fontId="3" fillId="0" borderId="5" xfId="2" applyFont="1" applyBorder="1" applyAlignment="1">
      <alignment horizontal="center" vertical="center" wrapText="1"/>
    </xf>
    <xf numFmtId="15" fontId="3" fillId="0" borderId="8" xfId="2" quotePrefix="1" applyNumberFormat="1" applyFont="1" applyBorder="1" applyAlignment="1">
      <alignment horizontal="center" vertical="center"/>
    </xf>
    <xf numFmtId="3" fontId="3" fillId="0" borderId="6" xfId="3" applyNumberFormat="1" applyFont="1" applyFill="1" applyBorder="1" applyAlignment="1">
      <alignment horizontal="right" vertical="center" wrapText="1"/>
    </xf>
    <xf numFmtId="164" fontId="3" fillId="0" borderId="1" xfId="3" applyFont="1" applyBorder="1" applyAlignment="1">
      <alignment vertical="center" wrapText="1"/>
    </xf>
    <xf numFmtId="3" fontId="3" fillId="0" borderId="1" xfId="2" applyNumberFormat="1" applyFont="1" applyBorder="1" applyAlignment="1">
      <alignment vertical="center" wrapText="1"/>
    </xf>
    <xf numFmtId="0" fontId="3" fillId="0" borderId="6" xfId="2" applyFont="1" applyBorder="1" applyAlignment="1">
      <alignment horizontal="left" vertical="center" wrapText="1"/>
    </xf>
    <xf numFmtId="0" fontId="3" fillId="0" borderId="1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3" fontId="3" fillId="0" borderId="2" xfId="2" applyNumberFormat="1" applyFont="1" applyBorder="1" applyAlignment="1">
      <alignment vertical="center" wrapText="1"/>
    </xf>
    <xf numFmtId="167" fontId="5" fillId="0" borderId="8" xfId="2" applyNumberFormat="1" applyFont="1" applyBorder="1" applyAlignment="1">
      <alignment horizontal="center" vertical="center"/>
    </xf>
    <xf numFmtId="0" fontId="5" fillId="0" borderId="5" xfId="2" applyFont="1" applyBorder="1"/>
    <xf numFmtId="1" fontId="5" fillId="0" borderId="0" xfId="2" applyNumberFormat="1" applyFont="1"/>
    <xf numFmtId="0" fontId="5" fillId="0" borderId="0" xfId="2" applyFont="1"/>
    <xf numFmtId="49" fontId="3" fillId="0" borderId="9" xfId="2" applyNumberFormat="1" applyFont="1" applyBorder="1" applyAlignment="1">
      <alignment vertical="center"/>
    </xf>
    <xf numFmtId="49" fontId="3" fillId="0" borderId="1" xfId="2" applyNumberFormat="1" applyFont="1" applyBorder="1" applyAlignment="1">
      <alignment vertical="center" wrapText="1"/>
    </xf>
    <xf numFmtId="0" fontId="3" fillId="0" borderId="1" xfId="2" applyFont="1" applyBorder="1" applyAlignment="1">
      <alignment wrapText="1"/>
    </xf>
    <xf numFmtId="0" fontId="3" fillId="0" borderId="1" xfId="2" applyFont="1" applyBorder="1" applyAlignment="1">
      <alignment horizontal="center" wrapText="1"/>
    </xf>
    <xf numFmtId="164" fontId="3" fillId="0" borderId="1" xfId="3" applyFont="1" applyFill="1" applyBorder="1" applyAlignment="1">
      <alignment horizontal="right" wrapText="1"/>
    </xf>
    <xf numFmtId="0" fontId="3" fillId="0" borderId="1" xfId="2" applyFont="1" applyBorder="1" applyAlignment="1">
      <alignment horizontal="left" wrapText="1"/>
    </xf>
    <xf numFmtId="164" fontId="3" fillId="0" borderId="1" xfId="3" applyFont="1" applyFill="1" applyBorder="1" applyAlignment="1">
      <alignment wrapText="1"/>
    </xf>
    <xf numFmtId="0" fontId="3" fillId="0" borderId="2" xfId="2" applyFont="1" applyBorder="1" applyAlignment="1">
      <alignment wrapText="1"/>
    </xf>
    <xf numFmtId="0" fontId="3" fillId="0" borderId="7" xfId="2" applyFont="1" applyBorder="1" applyAlignment="1">
      <alignment wrapText="1"/>
    </xf>
    <xf numFmtId="0" fontId="3" fillId="0" borderId="1" xfId="4" applyNumberFormat="1" applyFont="1" applyFill="1" applyBorder="1" applyAlignment="1">
      <alignment horizontal="center" wrapText="1"/>
    </xf>
    <xf numFmtId="0" fontId="3" fillId="0" borderId="1" xfId="4" applyNumberFormat="1" applyFont="1" applyFill="1" applyBorder="1" applyAlignment="1">
      <alignment wrapText="1"/>
    </xf>
    <xf numFmtId="0" fontId="3" fillId="0" borderId="1" xfId="2" applyFont="1" applyBorder="1" applyAlignment="1">
      <alignment horizontal="right" wrapText="1"/>
    </xf>
    <xf numFmtId="166" fontId="3" fillId="0" borderId="1" xfId="4" applyNumberFormat="1" applyFont="1" applyFill="1" applyBorder="1" applyAlignment="1">
      <alignment horizontal="center" wrapText="1"/>
    </xf>
    <xf numFmtId="0" fontId="3" fillId="0" borderId="1" xfId="4" applyNumberFormat="1" applyFont="1" applyFill="1" applyBorder="1" applyAlignment="1">
      <alignment horizontal="justify" wrapText="1"/>
    </xf>
    <xf numFmtId="166" fontId="3" fillId="0" borderId="1" xfId="4" applyNumberFormat="1" applyFont="1" applyFill="1" applyBorder="1" applyAlignment="1">
      <alignment wrapText="1"/>
    </xf>
    <xf numFmtId="166" fontId="3" fillId="0" borderId="0" xfId="4" applyNumberFormat="1" applyFont="1" applyFill="1" applyBorder="1"/>
    <xf numFmtId="166" fontId="3" fillId="0" borderId="0" xfId="4" applyNumberFormat="1" applyFont="1" applyFill="1"/>
    <xf numFmtId="0" fontId="3" fillId="0" borderId="1" xfId="4" applyNumberFormat="1" applyFont="1" applyFill="1" applyBorder="1" applyAlignment="1">
      <alignment horizontal="left" wrapText="1"/>
    </xf>
    <xf numFmtId="1" fontId="3" fillId="0" borderId="1" xfId="2" applyNumberFormat="1" applyFont="1" applyBorder="1" applyAlignment="1">
      <alignment wrapText="1"/>
    </xf>
    <xf numFmtId="1" fontId="3" fillId="0" borderId="1" xfId="2" applyNumberFormat="1" applyFont="1" applyBorder="1" applyAlignment="1">
      <alignment horizontal="center" wrapText="1"/>
    </xf>
    <xf numFmtId="0" fontId="3" fillId="2" borderId="1" xfId="2" applyFont="1" applyFill="1" applyBorder="1" applyAlignment="1">
      <alignment horizontal="left" vertical="center" wrapText="1"/>
    </xf>
    <xf numFmtId="164" fontId="3" fillId="0" borderId="1" xfId="3" applyFont="1" applyFill="1" applyBorder="1" applyAlignment="1">
      <alignment horizontal="center" wrapText="1"/>
    </xf>
    <xf numFmtId="0" fontId="3" fillId="0" borderId="0" xfId="2" applyFont="1" applyAlignment="1">
      <alignment horizontal="center" wrapText="1"/>
    </xf>
    <xf numFmtId="0" fontId="5" fillId="0" borderId="0" xfId="2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 wrapText="1"/>
    </xf>
    <xf numFmtId="0" fontId="5" fillId="0" borderId="0" xfId="2" applyFont="1" applyAlignment="1">
      <alignment vertical="justify" wrapText="1"/>
    </xf>
    <xf numFmtId="0" fontId="3" fillId="0" borderId="1" xfId="2" applyFont="1" applyBorder="1" applyAlignment="1">
      <alignment horizontal="center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" xfId="4" applyNumberFormat="1" applyFont="1" applyFill="1" applyBorder="1" applyAlignment="1">
      <alignment horizontal="center" vertical="top" wrapText="1"/>
    </xf>
    <xf numFmtId="0" fontId="3" fillId="0" borderId="1" xfId="4" applyNumberFormat="1" applyFont="1" applyFill="1" applyBorder="1" applyAlignment="1">
      <alignment vertical="top" wrapText="1"/>
    </xf>
    <xf numFmtId="0" fontId="3" fillId="0" borderId="1" xfId="2" applyFont="1" applyBorder="1" applyAlignment="1">
      <alignment horizontal="right" vertical="top" wrapText="1"/>
    </xf>
    <xf numFmtId="166" fontId="3" fillId="0" borderId="1" xfId="4" applyNumberFormat="1" applyFont="1" applyFill="1" applyBorder="1" applyAlignment="1">
      <alignment horizontal="center" vertical="top" wrapText="1"/>
    </xf>
    <xf numFmtId="164" fontId="3" fillId="0" borderId="1" xfId="3" applyFont="1" applyFill="1" applyBorder="1" applyAlignment="1">
      <alignment horizontal="right" vertical="top" wrapText="1"/>
    </xf>
    <xf numFmtId="0" fontId="3" fillId="0" borderId="0" xfId="2" applyFont="1" applyAlignment="1">
      <alignment horizontal="center" vertical="top"/>
    </xf>
    <xf numFmtId="0" fontId="3" fillId="0" borderId="0" xfId="2" applyFont="1" applyAlignment="1">
      <alignment vertical="top"/>
    </xf>
    <xf numFmtId="1" fontId="3" fillId="0" borderId="0" xfId="2" applyNumberFormat="1" applyFont="1" applyAlignment="1">
      <alignment vertical="top"/>
    </xf>
    <xf numFmtId="0" fontId="3" fillId="0" borderId="2" xfId="2" applyFont="1" applyBorder="1" applyAlignment="1">
      <alignment horizontal="left" vertical="center" wrapText="1"/>
    </xf>
    <xf numFmtId="0" fontId="3" fillId="0" borderId="2" xfId="4" applyNumberFormat="1" applyFont="1" applyFill="1" applyBorder="1" applyAlignment="1">
      <alignment horizontal="center" wrapText="1"/>
    </xf>
    <xf numFmtId="0" fontId="3" fillId="0" borderId="2" xfId="2" applyFont="1" applyBorder="1" applyAlignment="1">
      <alignment horizontal="center" wrapText="1"/>
    </xf>
    <xf numFmtId="164" fontId="3" fillId="0" borderId="2" xfId="3" applyFont="1" applyFill="1" applyBorder="1" applyAlignment="1">
      <alignment horizontal="right" wrapText="1"/>
    </xf>
    <xf numFmtId="164" fontId="3" fillId="0" borderId="2" xfId="3" applyFont="1" applyFill="1" applyBorder="1" applyAlignment="1">
      <alignment wrapText="1"/>
    </xf>
    <xf numFmtId="0" fontId="3" fillId="0" borderId="1" xfId="2" applyFont="1" applyBorder="1"/>
    <xf numFmtId="0" fontId="3" fillId="2" borderId="1" xfId="2" applyFont="1" applyFill="1" applyBorder="1" applyAlignment="1">
      <alignment wrapText="1"/>
    </xf>
    <xf numFmtId="0" fontId="3" fillId="2" borderId="1" xfId="2" applyFont="1" applyFill="1" applyBorder="1" applyAlignment="1">
      <alignment horizontal="center" wrapText="1"/>
    </xf>
    <xf numFmtId="164" fontId="3" fillId="2" borderId="1" xfId="3" applyFont="1" applyFill="1" applyBorder="1" applyAlignment="1">
      <alignment horizontal="right" wrapText="1"/>
    </xf>
    <xf numFmtId="0" fontId="3" fillId="2" borderId="1" xfId="2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center"/>
    </xf>
    <xf numFmtId="0" fontId="3" fillId="2" borderId="5" xfId="2" applyFont="1" applyFill="1" applyBorder="1"/>
    <xf numFmtId="1" fontId="3" fillId="2" borderId="0" xfId="2" applyNumberFormat="1" applyFont="1" applyFill="1"/>
    <xf numFmtId="0" fontId="3" fillId="2" borderId="0" xfId="2" applyFont="1" applyFill="1"/>
    <xf numFmtId="0" fontId="3" fillId="2" borderId="1" xfId="2" applyFont="1" applyFill="1" applyBorder="1"/>
    <xf numFmtId="0" fontId="3" fillId="2" borderId="1" xfId="2" applyFont="1" applyFill="1" applyBorder="1" applyAlignment="1">
      <alignment horizontal="left" wrapText="1"/>
    </xf>
    <xf numFmtId="0" fontId="3" fillId="2" borderId="1" xfId="2" applyFont="1" applyFill="1" applyBorder="1" applyAlignment="1">
      <alignment vertical="top" wrapText="1"/>
    </xf>
    <xf numFmtId="0" fontId="3" fillId="2" borderId="1" xfId="2" applyFont="1" applyFill="1" applyBorder="1" applyAlignment="1">
      <alignment horizontal="center" vertical="top" wrapText="1"/>
    </xf>
    <xf numFmtId="164" fontId="3" fillId="0" borderId="1" xfId="3" applyFont="1" applyFill="1" applyBorder="1" applyAlignment="1">
      <alignment vertical="top" wrapText="1"/>
    </xf>
    <xf numFmtId="0" fontId="3" fillId="2" borderId="0" xfId="2" applyFont="1" applyFill="1" applyAlignment="1">
      <alignment vertical="top"/>
    </xf>
    <xf numFmtId="0" fontId="3" fillId="2" borderId="8" xfId="2" applyFont="1" applyFill="1" applyBorder="1" applyAlignment="1">
      <alignment vertical="top" wrapText="1"/>
    </xf>
    <xf numFmtId="3" fontId="3" fillId="0" borderId="1" xfId="2" applyNumberFormat="1" applyFont="1" applyBorder="1" applyAlignment="1">
      <alignment vertical="top" wrapText="1"/>
    </xf>
    <xf numFmtId="164" fontId="3" fillId="0" borderId="1" xfId="3" applyFont="1" applyBorder="1" applyAlignment="1">
      <alignment vertical="top" wrapText="1"/>
    </xf>
    <xf numFmtId="0" fontId="3" fillId="2" borderId="0" xfId="2" applyFont="1" applyFill="1" applyAlignment="1">
      <alignment horizontal="center" vertical="top"/>
    </xf>
    <xf numFmtId="1" fontId="3" fillId="2" borderId="0" xfId="2" applyNumberFormat="1" applyFont="1" applyFill="1" applyAlignment="1">
      <alignment vertical="top"/>
    </xf>
    <xf numFmtId="0" fontId="3" fillId="0" borderId="1" xfId="2" applyFont="1" applyBorder="1" applyAlignment="1">
      <alignment vertical="top" wrapText="1"/>
    </xf>
    <xf numFmtId="0" fontId="3" fillId="0" borderId="1" xfId="2" applyFont="1" applyBorder="1" applyAlignment="1">
      <alignment horizontal="center" vertical="top"/>
    </xf>
    <xf numFmtId="0" fontId="3" fillId="0" borderId="1" xfId="2" quotePrefix="1" applyFont="1" applyBorder="1" applyAlignment="1">
      <alignment horizontal="left" vertical="top" wrapText="1"/>
    </xf>
    <xf numFmtId="0" fontId="3" fillId="0" borderId="0" xfId="2" applyFont="1" applyAlignment="1">
      <alignment vertical="center"/>
    </xf>
    <xf numFmtId="1" fontId="3" fillId="0" borderId="0" xfId="2" applyNumberFormat="1" applyFont="1" applyAlignment="1">
      <alignment vertical="center"/>
    </xf>
    <xf numFmtId="164" fontId="3" fillId="0" borderId="1" xfId="3" applyFont="1" applyFill="1" applyBorder="1" applyAlignment="1">
      <alignment horizontal="left" vertical="center" wrapText="1"/>
    </xf>
    <xf numFmtId="0" fontId="3" fillId="0" borderId="0" xfId="2" applyFont="1" applyAlignment="1">
      <alignment horizontal="right" vertical="center" wrapText="1"/>
    </xf>
    <xf numFmtId="164" fontId="3" fillId="0" borderId="1" xfId="3" applyFont="1" applyFill="1" applyBorder="1" applyAlignment="1">
      <alignment horizontal="center" vertical="center" wrapText="1"/>
    </xf>
    <xf numFmtId="0" fontId="8" fillId="0" borderId="0" xfId="2" applyFont="1"/>
    <xf numFmtId="0" fontId="3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center" vertical="center" wrapText="1"/>
    </xf>
    <xf numFmtId="164" fontId="3" fillId="0" borderId="1" xfId="3" applyFont="1" applyBorder="1" applyAlignment="1">
      <alignment horizontal="right" vertical="center" wrapText="1"/>
    </xf>
    <xf numFmtId="0" fontId="9" fillId="0" borderId="0" xfId="2" applyFont="1"/>
    <xf numFmtId="0" fontId="2" fillId="0" borderId="0" xfId="2"/>
    <xf numFmtId="164" fontId="3" fillId="0" borderId="1" xfId="3" applyFont="1" applyBorder="1" applyAlignment="1">
      <alignment horizontal="right" vertical="center"/>
    </xf>
    <xf numFmtId="0" fontId="10" fillId="0" borderId="0" xfId="2" applyFont="1" applyAlignment="1">
      <alignment horizontal="center"/>
    </xf>
    <xf numFmtId="0" fontId="3" fillId="0" borderId="1" xfId="2" applyFont="1" applyBorder="1" applyAlignment="1">
      <alignment horizontal="left" vertical="center"/>
    </xf>
    <xf numFmtId="0" fontId="3" fillId="0" borderId="0" xfId="2" applyFont="1" applyAlignment="1">
      <alignment horizontal="left" vertical="center"/>
    </xf>
    <xf numFmtId="1" fontId="3" fillId="0" borderId="0" xfId="2" applyNumberFormat="1" applyFont="1" applyAlignment="1">
      <alignment horizontal="left" vertical="center"/>
    </xf>
    <xf numFmtId="1" fontId="3" fillId="0" borderId="0" xfId="2" applyNumberFormat="1" applyFont="1" applyAlignment="1">
      <alignment horizontal="left"/>
    </xf>
    <xf numFmtId="0" fontId="4" fillId="0" borderId="0" xfId="2" applyFont="1"/>
    <xf numFmtId="0" fontId="4" fillId="0" borderId="0" xfId="2" applyFont="1" applyAlignment="1">
      <alignment vertical="center" wrapText="1"/>
    </xf>
    <xf numFmtId="0" fontId="3" fillId="0" borderId="0" xfId="2" applyFont="1" applyAlignment="1">
      <alignment wrapText="1"/>
    </xf>
    <xf numFmtId="1" fontId="3" fillId="0" borderId="0" xfId="2" applyNumberFormat="1" applyFont="1" applyAlignment="1">
      <alignment wrapText="1"/>
    </xf>
    <xf numFmtId="1" fontId="3" fillId="0" borderId="0" xfId="2" applyNumberFormat="1" applyFont="1" applyAlignment="1">
      <alignment horizontal="center" vertical="center" wrapText="1"/>
    </xf>
    <xf numFmtId="1" fontId="3" fillId="0" borderId="0" xfId="2" applyNumberFormat="1" applyFont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center" vertical="center" wrapText="1"/>
    </xf>
    <xf numFmtId="164" fontId="3" fillId="2" borderId="1" xfId="3" applyFont="1" applyFill="1" applyBorder="1" applyAlignment="1">
      <alignment horizontal="right" vertical="center"/>
    </xf>
    <xf numFmtId="3" fontId="3" fillId="2" borderId="1" xfId="2" applyNumberFormat="1" applyFont="1" applyFill="1" applyBorder="1" applyAlignment="1">
      <alignment horizontal="center" vertical="center"/>
    </xf>
    <xf numFmtId="164" fontId="3" fillId="2" borderId="1" xfId="3" applyFont="1" applyFill="1" applyBorder="1" applyAlignment="1">
      <alignment vertical="center"/>
    </xf>
    <xf numFmtId="0" fontId="3" fillId="2" borderId="1" xfId="2" applyFont="1" applyFill="1" applyBorder="1" applyAlignment="1">
      <alignment vertical="center" wrapText="1"/>
    </xf>
    <xf numFmtId="0" fontId="3" fillId="0" borderId="1" xfId="2" applyFont="1" applyBorder="1" applyAlignment="1">
      <alignment vertical="center"/>
    </xf>
    <xf numFmtId="0" fontId="3" fillId="2" borderId="1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top"/>
    </xf>
    <xf numFmtId="0" fontId="3" fillId="2" borderId="2" xfId="2" applyFont="1" applyFill="1" applyBorder="1" applyAlignment="1">
      <alignment horizontal="center" vertical="top" wrapText="1"/>
    </xf>
    <xf numFmtId="3" fontId="3" fillId="2" borderId="1" xfId="2" applyNumberFormat="1" applyFont="1" applyFill="1" applyBorder="1" applyAlignment="1">
      <alignment horizontal="center" vertical="top"/>
    </xf>
    <xf numFmtId="0" fontId="3" fillId="2" borderId="1" xfId="2" applyFont="1" applyFill="1" applyBorder="1" applyAlignment="1">
      <alignment vertical="top"/>
    </xf>
    <xf numFmtId="164" fontId="3" fillId="2" borderId="1" xfId="3" applyFont="1" applyFill="1" applyBorder="1" applyAlignment="1">
      <alignment vertical="top"/>
    </xf>
    <xf numFmtId="0" fontId="3" fillId="2" borderId="1" xfId="2" applyFont="1" applyFill="1" applyBorder="1" applyAlignment="1">
      <alignment horizontal="left" vertical="top"/>
    </xf>
    <xf numFmtId="0" fontId="3" fillId="2" borderId="1" xfId="2" applyFont="1" applyFill="1" applyBorder="1" applyAlignment="1">
      <alignment horizontal="center" vertical="center" wrapText="1"/>
    </xf>
    <xf numFmtId="164" fontId="3" fillId="0" borderId="1" xfId="3" applyFont="1" applyFill="1" applyBorder="1" applyAlignment="1">
      <alignment horizontal="left" vertical="center"/>
    </xf>
    <xf numFmtId="0" fontId="3" fillId="0" borderId="2" xfId="2" applyFont="1" applyBorder="1" applyAlignment="1">
      <alignment horizontal="left" vertical="center"/>
    </xf>
    <xf numFmtId="0" fontId="3" fillId="0" borderId="2" xfId="2" applyFont="1" applyBorder="1" applyAlignment="1">
      <alignment horizontal="center" vertical="center"/>
    </xf>
    <xf numFmtId="3" fontId="3" fillId="0" borderId="2" xfId="2" applyNumberFormat="1" applyFont="1" applyBorder="1" applyAlignment="1">
      <alignment horizontal="center" vertical="center"/>
    </xf>
    <xf numFmtId="1" fontId="3" fillId="0" borderId="2" xfId="2" applyNumberFormat="1" applyFont="1" applyBorder="1" applyAlignment="1">
      <alignment horizontal="center" vertical="center"/>
    </xf>
    <xf numFmtId="164" fontId="3" fillId="0" borderId="2" xfId="3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164" fontId="3" fillId="0" borderId="1" xfId="3" applyFont="1" applyFill="1" applyBorder="1" applyAlignment="1">
      <alignment vertical="center"/>
    </xf>
    <xf numFmtId="3" fontId="3" fillId="0" borderId="0" xfId="2" applyNumberFormat="1" applyFont="1" applyAlignment="1">
      <alignment vertical="center"/>
    </xf>
    <xf numFmtId="0" fontId="3" fillId="0" borderId="5" xfId="2" applyFont="1" applyBorder="1" applyAlignment="1">
      <alignment vertical="center"/>
    </xf>
    <xf numFmtId="3" fontId="3" fillId="0" borderId="1" xfId="2" applyNumberFormat="1" applyFont="1" applyBorder="1" applyAlignment="1">
      <alignment vertical="center"/>
    </xf>
    <xf numFmtId="164" fontId="3" fillId="0" borderId="1" xfId="3" applyFont="1" applyBorder="1" applyAlignment="1">
      <alignment vertical="center"/>
    </xf>
    <xf numFmtId="164" fontId="3" fillId="0" borderId="0" xfId="3" applyFont="1" applyFill="1" applyAlignment="1">
      <alignment horizontal="center" vertical="center"/>
    </xf>
    <xf numFmtId="0" fontId="3" fillId="2" borderId="1" xfId="2" applyFont="1" applyFill="1" applyBorder="1" applyAlignment="1">
      <alignment horizontal="right" vertical="center"/>
    </xf>
    <xf numFmtId="41" fontId="3" fillId="0" borderId="0" xfId="3" applyNumberFormat="1" applyFont="1" applyAlignment="1">
      <alignment vertical="center"/>
    </xf>
    <xf numFmtId="172" fontId="3" fillId="0" borderId="1" xfId="3" applyNumberFormat="1" applyFont="1" applyFill="1" applyBorder="1" applyAlignment="1">
      <alignment horizontal="right" vertical="center"/>
    </xf>
    <xf numFmtId="3" fontId="12" fillId="0" borderId="1" xfId="2" applyNumberFormat="1" applyFont="1" applyBorder="1" applyAlignment="1">
      <alignment vertical="center"/>
    </xf>
    <xf numFmtId="3" fontId="12" fillId="0" borderId="2" xfId="2" applyNumberFormat="1" applyFont="1" applyBorder="1" applyAlignment="1">
      <alignment vertical="center"/>
    </xf>
    <xf numFmtId="164" fontId="3" fillId="0" borderId="2" xfId="3" applyFont="1" applyFill="1" applyBorder="1" applyAlignment="1">
      <alignment vertical="center"/>
    </xf>
    <xf numFmtId="164" fontId="5" fillId="0" borderId="9" xfId="3" applyFont="1" applyFill="1" applyBorder="1" applyAlignment="1">
      <alignment horizontal="center" vertical="center"/>
    </xf>
    <xf numFmtId="0" fontId="2" fillId="0" borderId="0" xfId="2" applyAlignment="1">
      <alignment wrapText="1"/>
    </xf>
    <xf numFmtId="49" fontId="3" fillId="0" borderId="0" xfId="2" applyNumberFormat="1" applyFont="1" applyAlignment="1">
      <alignment horizontal="center"/>
    </xf>
    <xf numFmtId="0" fontId="5" fillId="0" borderId="2" xfId="2" applyFont="1" applyBorder="1" applyAlignment="1">
      <alignment horizontal="center" vertical="center" wrapText="1"/>
    </xf>
    <xf numFmtId="164" fontId="5" fillId="0" borderId="1" xfId="3" applyFont="1" applyFill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distributed"/>
    </xf>
    <xf numFmtId="0" fontId="3" fillId="0" borderId="5" xfId="2" applyFont="1" applyBorder="1" applyAlignment="1">
      <alignment horizontal="center" vertical="distributed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</cellXfs>
  <cellStyles count="8">
    <cellStyle name="Comma [0] 3" xfId="3" xr:uid="{B2563FA7-B110-4E67-8B34-DE53D2F40026}"/>
    <cellStyle name="Comma 2" xfId="4" xr:uid="{45564CAC-96D4-4390-9ED0-83DD4F44EC97}"/>
    <cellStyle name="Normal" xfId="0" builtinId="0"/>
    <cellStyle name="Normal 2 2 2 2" xfId="5" xr:uid="{849A4790-8157-4BE1-A4F0-B86758726272}"/>
    <cellStyle name="Normal 2 3 2" xfId="7" xr:uid="{9D5F6562-624F-47F9-9296-2826E399AB1A}"/>
    <cellStyle name="Normal 2 4" xfId="1" xr:uid="{265449F5-463E-468E-8863-BD31954E7951}"/>
    <cellStyle name="Normal 3 3" xfId="6" xr:uid="{1D3872DF-6DAC-4253-B7B8-875FDF00A413}"/>
    <cellStyle name="Normal 4" xfId="2" xr:uid="{FFF7F1F6-FC84-40CA-A774-8247557626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1F4A9-5A69-4336-BD0B-A5CCC9EC1CD9}">
  <dimension ref="A1:BO1601"/>
  <sheetViews>
    <sheetView tabSelected="1" topLeftCell="I1598" zoomScale="104" zoomScaleNormal="104" zoomScaleSheetLayoutView="100" workbookViewId="0">
      <selection activeCell="J1279" sqref="J1279"/>
    </sheetView>
  </sheetViews>
  <sheetFormatPr defaultColWidth="9.1796875" defaultRowHeight="10" x14ac:dyDescent="0.2"/>
  <cols>
    <col min="1" max="2" width="9.1796875" style="2"/>
    <col min="3" max="3" width="5.26953125" style="2" bestFit="1" customWidth="1"/>
    <col min="4" max="4" width="9.1796875" style="186" customWidth="1"/>
    <col min="5" max="5" width="10.90625" style="186" customWidth="1"/>
    <col min="6" max="6" width="17.1796875" style="186" customWidth="1"/>
    <col min="7" max="7" width="24.453125" style="2" customWidth="1"/>
    <col min="8" max="8" width="14.26953125" style="1" customWidth="1"/>
    <col min="9" max="9" width="15" style="5" customWidth="1"/>
    <col min="10" max="10" width="11.1796875" style="4" bestFit="1" customWidth="1"/>
    <col min="11" max="11" width="8" style="1" customWidth="1"/>
    <col min="12" max="12" width="20.1796875" style="6" customWidth="1"/>
    <col min="13" max="13" width="14.1796875" style="1" hidden="1" customWidth="1"/>
    <col min="14" max="14" width="0" style="2" hidden="1" customWidth="1"/>
    <col min="15" max="15" width="11.54296875" style="3" customWidth="1"/>
    <col min="16" max="16" width="9.1796875" style="2"/>
    <col min="17" max="17" width="10" style="2" bestFit="1" customWidth="1"/>
    <col min="18" max="16384" width="9.1796875" style="2"/>
  </cols>
  <sheetData>
    <row r="1" spans="1:67" s="3" customFormat="1" ht="27.5" customHeight="1" x14ac:dyDescent="0.2">
      <c r="A1" s="187" t="s">
        <v>2983</v>
      </c>
      <c r="B1" s="187" t="s">
        <v>2984</v>
      </c>
      <c r="C1" s="187" t="s">
        <v>2985</v>
      </c>
      <c r="D1" s="187" t="s">
        <v>1</v>
      </c>
      <c r="E1" s="7" t="s">
        <v>4</v>
      </c>
      <c r="F1" s="7" t="s">
        <v>2992</v>
      </c>
      <c r="G1" s="7" t="s">
        <v>2990</v>
      </c>
      <c r="H1" s="7" t="s">
        <v>2991</v>
      </c>
      <c r="I1" s="7" t="s">
        <v>2989</v>
      </c>
      <c r="J1" s="188" t="s">
        <v>5</v>
      </c>
      <c r="K1" s="7" t="s">
        <v>2988</v>
      </c>
      <c r="L1" s="188" t="s">
        <v>2987</v>
      </c>
      <c r="M1" s="189" t="s">
        <v>2</v>
      </c>
      <c r="N1" s="190" t="s">
        <v>3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spans="1:67" s="3" customFormat="1" x14ac:dyDescent="0.2">
      <c r="A2" s="14" t="s">
        <v>2986</v>
      </c>
      <c r="B2" s="14" t="s">
        <v>18</v>
      </c>
      <c r="C2" s="14">
        <v>2025</v>
      </c>
      <c r="D2" s="14" t="str">
        <f t="array" ref="D2">_xlfn.SWITCH(E2,"Bagor","35.18.14","Sukomoro",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" s="13" t="s">
        <v>7</v>
      </c>
      <c r="F2" s="14" t="s">
        <v>6</v>
      </c>
      <c r="G2" s="14" t="s">
        <v>8</v>
      </c>
      <c r="H2" s="13" t="s">
        <v>9</v>
      </c>
      <c r="I2" s="14" t="s">
        <v>10</v>
      </c>
      <c r="J2" s="15">
        <v>120000000</v>
      </c>
      <c r="K2" s="13" t="s">
        <v>11</v>
      </c>
      <c r="L2" s="15">
        <f>44880000000</f>
        <v>44880000000</v>
      </c>
      <c r="M2" s="16">
        <v>39105</v>
      </c>
      <c r="N2" s="17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</row>
    <row r="3" spans="1:67" s="3" customFormat="1" x14ac:dyDescent="0.2">
      <c r="A3" s="14" t="s">
        <v>2986</v>
      </c>
      <c r="B3" s="14" t="s">
        <v>18</v>
      </c>
      <c r="C3" s="14">
        <v>2025</v>
      </c>
      <c r="D3" s="14" t="str">
        <f t="array" ref="D3">_xlfn.SWITCH(E3,"Bagor","35.18.14","Sukomoro",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" s="13" t="s">
        <v>7</v>
      </c>
      <c r="F3" s="14" t="s">
        <v>12</v>
      </c>
      <c r="G3" s="14" t="s">
        <v>13</v>
      </c>
      <c r="H3" s="13" t="s">
        <v>9</v>
      </c>
      <c r="I3" s="14" t="s">
        <v>10</v>
      </c>
      <c r="J3" s="15">
        <v>250000000</v>
      </c>
      <c r="K3" s="13" t="s">
        <v>11</v>
      </c>
      <c r="L3" s="15">
        <v>75000000000</v>
      </c>
      <c r="M3" s="16">
        <v>39218</v>
      </c>
      <c r="N3" s="17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  <row r="4" spans="1:67" s="3" customFormat="1" x14ac:dyDescent="0.2">
      <c r="A4" s="14" t="s">
        <v>2986</v>
      </c>
      <c r="B4" s="14" t="s">
        <v>18</v>
      </c>
      <c r="C4" s="14">
        <v>2025</v>
      </c>
      <c r="D4" s="14" t="str">
        <f t="array" ref="D4">_xlfn.SWITCH(E4,"Jatikalen","35.18.20","Kertosono", "35.18.08","Lengkong","35.18.19","Loceret","35.18.04","Tanjunganom","35.18.11","Wilangan","35.18.15")</f>
        <v>35.18.04</v>
      </c>
      <c r="E4" s="13" t="s">
        <v>15</v>
      </c>
      <c r="F4" s="14" t="s">
        <v>14</v>
      </c>
      <c r="G4" s="14" t="s">
        <v>16</v>
      </c>
      <c r="H4" s="13" t="s">
        <v>9</v>
      </c>
      <c r="I4" s="14" t="s">
        <v>10</v>
      </c>
      <c r="J4" s="15">
        <v>850000</v>
      </c>
      <c r="K4" s="13" t="s">
        <v>11</v>
      </c>
      <c r="L4" s="15">
        <v>317900000</v>
      </c>
      <c r="M4" s="16">
        <v>39232</v>
      </c>
      <c r="N4" s="17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s="3" customFormat="1" x14ac:dyDescent="0.2">
      <c r="A5" s="14" t="s">
        <v>2986</v>
      </c>
      <c r="B5" s="14" t="s">
        <v>18</v>
      </c>
      <c r="C5" s="14">
        <v>2025</v>
      </c>
      <c r="D5" s="14" t="str">
        <f t="array" ref="D5">_xlfn.SWITCH(E5,"Bagor","35.18.14","Sukomoro",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" s="13" t="s">
        <v>18</v>
      </c>
      <c r="F5" s="14" t="s">
        <v>17</v>
      </c>
      <c r="G5" s="14" t="s">
        <v>19</v>
      </c>
      <c r="H5" s="13" t="s">
        <v>20</v>
      </c>
      <c r="I5" s="14" t="s">
        <v>21</v>
      </c>
      <c r="J5" s="15">
        <v>180</v>
      </c>
      <c r="K5" s="13" t="s">
        <v>22</v>
      </c>
      <c r="L5" s="15">
        <v>240000000</v>
      </c>
      <c r="M5" s="18">
        <v>2007</v>
      </c>
      <c r="N5" s="17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s="3" customFormat="1" x14ac:dyDescent="0.2">
      <c r="A6" s="14" t="s">
        <v>2986</v>
      </c>
      <c r="B6" s="14" t="s">
        <v>18</v>
      </c>
      <c r="C6" s="14">
        <v>2025</v>
      </c>
      <c r="D6" s="14" t="str">
        <f t="array" ref="D6">_xlfn.SWITCH(E6,"Bagor","35.18.14","Sukomoro",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6" s="13" t="s">
        <v>24</v>
      </c>
      <c r="F6" s="14" t="s">
        <v>23</v>
      </c>
      <c r="G6" s="14" t="s">
        <v>25</v>
      </c>
      <c r="H6" s="13" t="s">
        <v>20</v>
      </c>
      <c r="I6" s="14" t="s">
        <v>21</v>
      </c>
      <c r="J6" s="15">
        <v>240</v>
      </c>
      <c r="K6" s="13" t="s">
        <v>22</v>
      </c>
      <c r="L6" s="15">
        <v>350000000</v>
      </c>
      <c r="M6" s="16">
        <v>39149</v>
      </c>
      <c r="N6" s="17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s="3" customFormat="1" x14ac:dyDescent="0.2">
      <c r="A7" s="14" t="s">
        <v>2986</v>
      </c>
      <c r="B7" s="14" t="s">
        <v>18</v>
      </c>
      <c r="C7" s="14">
        <v>2025</v>
      </c>
      <c r="D7" s="14" t="str">
        <f t="array" ref="D7">_xlfn.SWITCH(E7,"Jatikalen","35.18.20","Kertosono", "35.18.08","Lengkong","35.18.19","Loceret","35.18.04","Tanjunganom","35.18.11","Wilangan","35.18.15")</f>
        <v>35.18.11</v>
      </c>
      <c r="E7" s="13" t="s">
        <v>27</v>
      </c>
      <c r="F7" s="14" t="s">
        <v>26</v>
      </c>
      <c r="G7" s="14" t="s">
        <v>28</v>
      </c>
      <c r="H7" s="13" t="s">
        <v>20</v>
      </c>
      <c r="I7" s="14" t="s">
        <v>21</v>
      </c>
      <c r="J7" s="15">
        <v>180</v>
      </c>
      <c r="K7" s="13" t="s">
        <v>22</v>
      </c>
      <c r="L7" s="15">
        <v>225000000</v>
      </c>
      <c r="M7" s="16">
        <v>39188</v>
      </c>
      <c r="N7" s="17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s="3" customFormat="1" x14ac:dyDescent="0.2">
      <c r="A8" s="14" t="s">
        <v>2986</v>
      </c>
      <c r="B8" s="14" t="s">
        <v>18</v>
      </c>
      <c r="C8" s="14">
        <v>2025</v>
      </c>
      <c r="D8" s="14" t="str">
        <f t="array" ref="D8">_xlfn.SWITCH(E8,"Jatikalen","35.18.20","Kertosono", "35.18.08","Lengkong","35.18.19","Loceret","35.18.04","Tanjunganom","35.18.11","Wilangan","35.18.15")</f>
        <v>35.18.19</v>
      </c>
      <c r="E8" s="13" t="s">
        <v>30</v>
      </c>
      <c r="F8" s="14" t="s">
        <v>29</v>
      </c>
      <c r="G8" s="14" t="s">
        <v>31</v>
      </c>
      <c r="H8" s="13" t="s">
        <v>20</v>
      </c>
      <c r="I8" s="14" t="s">
        <v>21</v>
      </c>
      <c r="J8" s="15">
        <v>105</v>
      </c>
      <c r="K8" s="13" t="s">
        <v>22</v>
      </c>
      <c r="L8" s="15">
        <v>135250000</v>
      </c>
      <c r="M8" s="16">
        <v>39218</v>
      </c>
      <c r="N8" s="17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67" s="3" customFormat="1" x14ac:dyDescent="0.2">
      <c r="A9" s="14" t="s">
        <v>2986</v>
      </c>
      <c r="B9" s="14" t="s">
        <v>18</v>
      </c>
      <c r="C9" s="14">
        <v>2025</v>
      </c>
      <c r="D9" s="14" t="str">
        <f t="array" ref="D9">_xlfn.SWITCH(E9,"Bagor","35.18.14","Sukomoro",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" s="13" t="s">
        <v>7</v>
      </c>
      <c r="F9" s="14" t="s">
        <v>32</v>
      </c>
      <c r="G9" s="14" t="s">
        <v>33</v>
      </c>
      <c r="H9" s="13" t="s">
        <v>20</v>
      </c>
      <c r="I9" s="14" t="s">
        <v>21</v>
      </c>
      <c r="J9" s="15">
        <v>10</v>
      </c>
      <c r="K9" s="13" t="s">
        <v>34</v>
      </c>
      <c r="L9" s="15">
        <v>61000000</v>
      </c>
      <c r="M9" s="16">
        <v>39091</v>
      </c>
      <c r="N9" s="17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s="3" customFormat="1" x14ac:dyDescent="0.2">
      <c r="A10" s="14" t="s">
        <v>2986</v>
      </c>
      <c r="B10" s="14" t="s">
        <v>18</v>
      </c>
      <c r="C10" s="14">
        <v>2025</v>
      </c>
      <c r="D10" s="14" t="str">
        <f t="array" ref="D10">_xlfn.SWITCH(E10,"Jatikalen","35.18.20","Kertosono", "35.18.08","Lengkong","35.18.19","Loceret","35.18.04","Tanjunganom","35.18.11","Wilangan","35.18.15")</f>
        <v>35.18.19</v>
      </c>
      <c r="E10" s="13" t="s">
        <v>30</v>
      </c>
      <c r="F10" s="14" t="s">
        <v>35</v>
      </c>
      <c r="G10" s="14" t="s">
        <v>33</v>
      </c>
      <c r="H10" s="13" t="s">
        <v>20</v>
      </c>
      <c r="I10" s="14" t="s">
        <v>36</v>
      </c>
      <c r="J10" s="15">
        <v>120</v>
      </c>
      <c r="K10" s="13" t="s">
        <v>37</v>
      </c>
      <c r="L10" s="15">
        <v>1050000000</v>
      </c>
      <c r="M10" s="16">
        <v>39120</v>
      </c>
      <c r="N10" s="1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s="3" customFormat="1" x14ac:dyDescent="0.2">
      <c r="A11" s="14" t="s">
        <v>2986</v>
      </c>
      <c r="B11" s="14" t="s">
        <v>18</v>
      </c>
      <c r="C11" s="14">
        <v>2025</v>
      </c>
      <c r="D11" s="14" t="str">
        <f t="array" ref="D11">_xlfn.SWITCH(E11,"Bagor","35.18.14","Sukomoro",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" s="13" t="s">
        <v>35</v>
      </c>
      <c r="F11" s="14" t="s">
        <v>38</v>
      </c>
      <c r="G11" s="14" t="s">
        <v>39</v>
      </c>
      <c r="H11" s="13" t="s">
        <v>20</v>
      </c>
      <c r="I11" s="14" t="s">
        <v>36</v>
      </c>
      <c r="J11" s="15">
        <v>120</v>
      </c>
      <c r="K11" s="13" t="s">
        <v>37</v>
      </c>
      <c r="L11" s="15">
        <v>1050000000</v>
      </c>
      <c r="M11" s="16">
        <v>39135</v>
      </c>
      <c r="N11" s="17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s="3" customFormat="1" x14ac:dyDescent="0.2">
      <c r="A12" s="14" t="s">
        <v>2986</v>
      </c>
      <c r="B12" s="14" t="s">
        <v>18</v>
      </c>
      <c r="C12" s="14">
        <v>2025</v>
      </c>
      <c r="D12" s="14" t="str">
        <f t="array" ref="D12">_xlfn.SWITCH(E12,"Jatikalen","35.18.20","Kertosono", "35.18.08","Lengkong","35.18.19","Loceret","35.18.04","Tanjunganom","35.18.11","Wilangan","35.18.15")</f>
        <v>35.18.11</v>
      </c>
      <c r="E12" s="13" t="s">
        <v>27</v>
      </c>
      <c r="F12" s="14" t="s">
        <v>26</v>
      </c>
      <c r="G12" s="14" t="s">
        <v>40</v>
      </c>
      <c r="H12" s="13" t="s">
        <v>20</v>
      </c>
      <c r="I12" s="14" t="s">
        <v>36</v>
      </c>
      <c r="J12" s="15">
        <v>84</v>
      </c>
      <c r="K12" s="13" t="s">
        <v>37</v>
      </c>
      <c r="L12" s="15">
        <v>735000000</v>
      </c>
      <c r="M12" s="16">
        <v>39149</v>
      </c>
      <c r="N12" s="17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s="3" customFormat="1" x14ac:dyDescent="0.2">
      <c r="A13" s="14" t="s">
        <v>2986</v>
      </c>
      <c r="B13" s="14" t="s">
        <v>18</v>
      </c>
      <c r="C13" s="14">
        <v>2025</v>
      </c>
      <c r="D13" s="14" t="str">
        <f t="array" ref="D13">_xlfn.SWITCH(E13,"Bagor","35.18.14","Sukomoro",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" s="13" t="s">
        <v>18</v>
      </c>
      <c r="F13" s="14" t="s">
        <v>41</v>
      </c>
      <c r="G13" s="14" t="s">
        <v>42</v>
      </c>
      <c r="H13" s="13" t="s">
        <v>43</v>
      </c>
      <c r="I13" s="14" t="s">
        <v>44</v>
      </c>
      <c r="J13" s="15">
        <v>1300</v>
      </c>
      <c r="K13" s="13" t="s">
        <v>45</v>
      </c>
      <c r="L13" s="15">
        <v>1350000000</v>
      </c>
      <c r="M13" s="16">
        <v>39133</v>
      </c>
      <c r="N13" s="17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s="3" customFormat="1" x14ac:dyDescent="0.2">
      <c r="A14" s="14" t="s">
        <v>2986</v>
      </c>
      <c r="B14" s="14" t="s">
        <v>18</v>
      </c>
      <c r="C14" s="14">
        <v>2025</v>
      </c>
      <c r="D14" s="14" t="str">
        <f t="array" ref="D14">_xlfn.SWITCH(E14,"Bagor","35.18.14","Sukomoro",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" s="13" t="s">
        <v>18</v>
      </c>
      <c r="F14" s="14" t="s">
        <v>46</v>
      </c>
      <c r="G14" s="14" t="s">
        <v>47</v>
      </c>
      <c r="H14" s="13" t="s">
        <v>9</v>
      </c>
      <c r="I14" s="14" t="s">
        <v>48</v>
      </c>
      <c r="J14" s="15">
        <v>325</v>
      </c>
      <c r="K14" s="13" t="s">
        <v>45</v>
      </c>
      <c r="L14" s="15">
        <v>310000000</v>
      </c>
      <c r="M14" s="16">
        <v>39091</v>
      </c>
      <c r="N14" s="17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s="3" customFormat="1" x14ac:dyDescent="0.2">
      <c r="A15" s="14" t="s">
        <v>2986</v>
      </c>
      <c r="B15" s="14" t="s">
        <v>18</v>
      </c>
      <c r="C15" s="14">
        <v>2025</v>
      </c>
      <c r="D15" s="14" t="str">
        <f t="array" ref="D15">_xlfn.SWITCH(E15,"Bagor","35.18.14","Sukomoro",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" s="13" t="s">
        <v>50</v>
      </c>
      <c r="F15" s="14" t="s">
        <v>49</v>
      </c>
      <c r="G15" s="14" t="s">
        <v>51</v>
      </c>
      <c r="H15" s="13" t="s">
        <v>43</v>
      </c>
      <c r="I15" s="14" t="s">
        <v>52</v>
      </c>
      <c r="J15" s="15">
        <v>52</v>
      </c>
      <c r="K15" s="13" t="s">
        <v>53</v>
      </c>
      <c r="L15" s="15">
        <v>295100000</v>
      </c>
      <c r="M15" s="16">
        <v>39253</v>
      </c>
      <c r="N15" s="17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s="3" customFormat="1" x14ac:dyDescent="0.2">
      <c r="A16" s="14" t="s">
        <v>2986</v>
      </c>
      <c r="B16" s="14" t="s">
        <v>18</v>
      </c>
      <c r="C16" s="14">
        <v>2025</v>
      </c>
      <c r="D16" s="14" t="str">
        <f t="array" ref="D16">_xlfn.SWITCH(E16,"Jatikalen","35.18.20","Kertosono", "35.18.08","Lengkong","35.18.19","Loceret","35.18.04","Tanjunganom","35.18.11","Wilangan","35.18.15")</f>
        <v>35.18.11</v>
      </c>
      <c r="E16" s="13" t="s">
        <v>27</v>
      </c>
      <c r="F16" s="14" t="s">
        <v>26</v>
      </c>
      <c r="G16" s="14" t="s">
        <v>54</v>
      </c>
      <c r="H16" s="13" t="s">
        <v>20</v>
      </c>
      <c r="I16" s="14" t="s">
        <v>55</v>
      </c>
      <c r="J16" s="15">
        <v>600</v>
      </c>
      <c r="K16" s="13" t="s">
        <v>53</v>
      </c>
      <c r="L16" s="15">
        <v>45000000</v>
      </c>
      <c r="M16" s="16">
        <v>39206</v>
      </c>
      <c r="N16" s="17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s="3" customFormat="1" x14ac:dyDescent="0.2">
      <c r="A17" s="14" t="s">
        <v>2986</v>
      </c>
      <c r="B17" s="14" t="s">
        <v>18</v>
      </c>
      <c r="C17" s="14">
        <v>2025</v>
      </c>
      <c r="D17" s="14" t="str">
        <f t="array" ref="D17">_xlfn.SWITCH(E17,"Bagor","35.18.14","Sukomoro",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" s="13" t="s">
        <v>57</v>
      </c>
      <c r="F17" s="14" t="s">
        <v>56</v>
      </c>
      <c r="G17" s="14" t="s">
        <v>58</v>
      </c>
      <c r="H17" s="13" t="s">
        <v>20</v>
      </c>
      <c r="I17" s="14" t="s">
        <v>55</v>
      </c>
      <c r="J17" s="15">
        <v>110</v>
      </c>
      <c r="K17" s="13" t="s">
        <v>53</v>
      </c>
      <c r="L17" s="15">
        <v>13750000</v>
      </c>
      <c r="M17" s="16">
        <v>39230</v>
      </c>
      <c r="N17" s="17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s="3" customFormat="1" x14ac:dyDescent="0.2">
      <c r="A18" s="14" t="s">
        <v>2986</v>
      </c>
      <c r="B18" s="14" t="s">
        <v>18</v>
      </c>
      <c r="C18" s="14">
        <v>2025</v>
      </c>
      <c r="D18" s="14" t="str">
        <f t="array" ref="D18">_xlfn.SWITCH(E18,"Jatikalen","35.18.20","Kertosono", "35.18.08","Lengkong","35.18.19","Loceret","35.18.04","Tanjunganom","35.18.11","Wilangan","35.18.15")</f>
        <v>35.18.04</v>
      </c>
      <c r="E18" s="13" t="s">
        <v>15</v>
      </c>
      <c r="F18" s="14" t="s">
        <v>59</v>
      </c>
      <c r="G18" s="14" t="s">
        <v>60</v>
      </c>
      <c r="H18" s="13" t="s">
        <v>20</v>
      </c>
      <c r="I18" s="14" t="s">
        <v>61</v>
      </c>
      <c r="J18" s="15">
        <v>10000</v>
      </c>
      <c r="K18" s="13" t="s">
        <v>22</v>
      </c>
      <c r="L18" s="15">
        <v>4750000000</v>
      </c>
      <c r="M18" s="16">
        <v>39112</v>
      </c>
      <c r="N18" s="17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s="3" customFormat="1" x14ac:dyDescent="0.2">
      <c r="A19" s="14" t="s">
        <v>2986</v>
      </c>
      <c r="B19" s="14" t="s">
        <v>18</v>
      </c>
      <c r="C19" s="14">
        <v>2025</v>
      </c>
      <c r="D19" s="14" t="str">
        <f t="array" ref="D19">_xlfn.SWITCH(E19,"Jatikalen","35.18.20","Kertosono", "35.18.08","Lengkong","35.18.19","Loceret","35.18.04","Tanjunganom","35.18.11","Wilangan","35.18.15")</f>
        <v>35.18.04</v>
      </c>
      <c r="E19" s="13" t="s">
        <v>15</v>
      </c>
      <c r="F19" s="14" t="s">
        <v>62</v>
      </c>
      <c r="G19" s="14" t="s">
        <v>63</v>
      </c>
      <c r="H19" s="13" t="s">
        <v>9</v>
      </c>
      <c r="I19" s="14" t="s">
        <v>36</v>
      </c>
      <c r="J19" s="15">
        <v>300</v>
      </c>
      <c r="K19" s="13" t="s">
        <v>37</v>
      </c>
      <c r="L19" s="15">
        <v>3200000000</v>
      </c>
      <c r="M19" s="16">
        <v>39099</v>
      </c>
      <c r="N19" s="17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s="3" customFormat="1" x14ac:dyDescent="0.2">
      <c r="A20" s="14" t="s">
        <v>2986</v>
      </c>
      <c r="B20" s="14" t="s">
        <v>18</v>
      </c>
      <c r="C20" s="14">
        <v>2025</v>
      </c>
      <c r="D20" s="14" t="str">
        <f t="array" ref="D20">_xlfn.SWITCH(E20,"Bagor","35.18.14","Sukomoro",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0" s="13" t="s">
        <v>65</v>
      </c>
      <c r="F20" s="14" t="s">
        <v>64</v>
      </c>
      <c r="G20" s="14" t="s">
        <v>66</v>
      </c>
      <c r="H20" s="13" t="s">
        <v>9</v>
      </c>
      <c r="I20" s="14" t="s">
        <v>10</v>
      </c>
      <c r="J20" s="15">
        <v>1000000</v>
      </c>
      <c r="K20" s="13" t="s">
        <v>11</v>
      </c>
      <c r="L20" s="15">
        <f>J20*250</f>
        <v>250000000</v>
      </c>
      <c r="M20" s="19" t="s">
        <v>67</v>
      </c>
      <c r="N20" s="17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s="3" customFormat="1" x14ac:dyDescent="0.2">
      <c r="A21" s="14" t="s">
        <v>2986</v>
      </c>
      <c r="B21" s="14" t="s">
        <v>18</v>
      </c>
      <c r="C21" s="14">
        <v>2025</v>
      </c>
      <c r="D21" s="14" t="str">
        <f t="array" ref="D21">_xlfn.SWITCH(E21,"Bagor","35.18.14","Sukomoro",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1" s="13" t="s">
        <v>7</v>
      </c>
      <c r="F21" s="14" t="s">
        <v>12</v>
      </c>
      <c r="G21" s="14" t="s">
        <v>68</v>
      </c>
      <c r="H21" s="13" t="s">
        <v>9</v>
      </c>
      <c r="I21" s="14" t="s">
        <v>10</v>
      </c>
      <c r="J21" s="15">
        <v>1000000</v>
      </c>
      <c r="K21" s="13" t="s">
        <v>11</v>
      </c>
      <c r="L21" s="15">
        <f>J21*260</f>
        <v>260000000</v>
      </c>
      <c r="M21" s="20" t="s">
        <v>69</v>
      </c>
      <c r="N21" s="17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s="3" customFormat="1" x14ac:dyDescent="0.2">
      <c r="A22" s="14" t="s">
        <v>2986</v>
      </c>
      <c r="B22" s="14" t="s">
        <v>18</v>
      </c>
      <c r="C22" s="14">
        <v>2025</v>
      </c>
      <c r="D22" s="14" t="str">
        <f t="array" ref="D22">_xlfn.SWITCH(E22,"Bagor","35.18.14","Sukomoro",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2" s="13" t="s">
        <v>65</v>
      </c>
      <c r="F22" s="14" t="s">
        <v>64</v>
      </c>
      <c r="G22" s="14" t="s">
        <v>70</v>
      </c>
      <c r="H22" s="13" t="s">
        <v>9</v>
      </c>
      <c r="I22" s="14" t="s">
        <v>10</v>
      </c>
      <c r="J22" s="15">
        <v>16000000</v>
      </c>
      <c r="K22" s="13" t="s">
        <v>11</v>
      </c>
      <c r="L22" s="15">
        <v>5984000000</v>
      </c>
      <c r="M22" s="16">
        <v>39287</v>
      </c>
      <c r="N22" s="17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s="3" customFormat="1" x14ac:dyDescent="0.2">
      <c r="A23" s="14" t="s">
        <v>2986</v>
      </c>
      <c r="B23" s="14" t="s">
        <v>18</v>
      </c>
      <c r="C23" s="14">
        <v>2025</v>
      </c>
      <c r="D23" s="14" t="str">
        <f t="array" ref="D23">_xlfn.SWITCH(E23,"Bagor","35.18.14","Sukomoro",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3" s="13" t="s">
        <v>72</v>
      </c>
      <c r="F23" s="14" t="s">
        <v>71</v>
      </c>
      <c r="G23" s="14" t="s">
        <v>73</v>
      </c>
      <c r="H23" s="13" t="s">
        <v>9</v>
      </c>
      <c r="I23" s="14" t="s">
        <v>10</v>
      </c>
      <c r="J23" s="15">
        <v>250000</v>
      </c>
      <c r="K23" s="13" t="s">
        <v>11</v>
      </c>
      <c r="L23" s="15">
        <v>93500000</v>
      </c>
      <c r="M23" s="16">
        <v>39293</v>
      </c>
      <c r="N23" s="17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s="3" customFormat="1" x14ac:dyDescent="0.2">
      <c r="A24" s="14" t="s">
        <v>2986</v>
      </c>
      <c r="B24" s="14" t="s">
        <v>18</v>
      </c>
      <c r="C24" s="14">
        <v>2025</v>
      </c>
      <c r="D24" s="14" t="str">
        <f t="array" ref="D24">_xlfn.SWITCH(E24,"Jatikalen","35.18.20","Kertosono", "35.18.08","Lengkong","35.18.19","Loceret","35.18.04","Tanjunganom","35.18.11","Wilangan","35.18.15")</f>
        <v>35.18.08</v>
      </c>
      <c r="E24" s="13" t="s">
        <v>75</v>
      </c>
      <c r="F24" s="14" t="s">
        <v>74</v>
      </c>
      <c r="G24" s="14" t="s">
        <v>76</v>
      </c>
      <c r="H24" s="13" t="s">
        <v>9</v>
      </c>
      <c r="I24" s="14" t="s">
        <v>10</v>
      </c>
      <c r="J24" s="15">
        <v>300000</v>
      </c>
      <c r="K24" s="13" t="s">
        <v>11</v>
      </c>
      <c r="L24" s="15">
        <f>J24*200</f>
        <v>60000000</v>
      </c>
      <c r="M24" s="20" t="s">
        <v>77</v>
      </c>
      <c r="N24" s="17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s="3" customFormat="1" x14ac:dyDescent="0.2">
      <c r="A25" s="14" t="s">
        <v>2986</v>
      </c>
      <c r="B25" s="14" t="s">
        <v>18</v>
      </c>
      <c r="C25" s="14">
        <v>2025</v>
      </c>
      <c r="D25" s="14" t="str">
        <f t="array" ref="D25">_xlfn.SWITCH(E25,"Bagor","35.18.14","Sukomoro",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5" s="13" t="s">
        <v>7</v>
      </c>
      <c r="F25" s="14" t="s">
        <v>6</v>
      </c>
      <c r="G25" s="14" t="s">
        <v>78</v>
      </c>
      <c r="H25" s="13" t="s">
        <v>9</v>
      </c>
      <c r="I25" s="14" t="s">
        <v>10</v>
      </c>
      <c r="J25" s="15">
        <v>250000000</v>
      </c>
      <c r="K25" s="13" t="s">
        <v>11</v>
      </c>
      <c r="L25" s="15">
        <v>78000000000</v>
      </c>
      <c r="M25" s="16">
        <v>39356</v>
      </c>
      <c r="N25" s="17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s="3" customFormat="1" x14ac:dyDescent="0.2">
      <c r="A26" s="14" t="s">
        <v>2986</v>
      </c>
      <c r="B26" s="14" t="s">
        <v>18</v>
      </c>
      <c r="C26" s="14">
        <v>2025</v>
      </c>
      <c r="D26" s="14" t="str">
        <f t="array" ref="D26">_xlfn.SWITCH(E26,"Bagor","35.18.14","Sukomoro",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6" s="13" t="s">
        <v>7</v>
      </c>
      <c r="F26" s="14" t="s">
        <v>6</v>
      </c>
      <c r="G26" s="14" t="s">
        <v>79</v>
      </c>
      <c r="H26" s="13" t="s">
        <v>9</v>
      </c>
      <c r="I26" s="14" t="s">
        <v>10</v>
      </c>
      <c r="J26" s="15">
        <v>850000</v>
      </c>
      <c r="K26" s="13" t="s">
        <v>11</v>
      </c>
      <c r="L26" s="15">
        <v>317900000</v>
      </c>
      <c r="M26" s="16">
        <v>39392</v>
      </c>
      <c r="N26" s="17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s="3" customFormat="1" x14ac:dyDescent="0.2">
      <c r="A27" s="14" t="s">
        <v>2986</v>
      </c>
      <c r="B27" s="14" t="s">
        <v>18</v>
      </c>
      <c r="C27" s="14">
        <v>2025</v>
      </c>
      <c r="D27" s="14" t="str">
        <f t="array" ref="D27">_xlfn.SWITCH(E27,"Bagor","35.18.14","Sukomoro",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27" s="13" t="s">
        <v>50</v>
      </c>
      <c r="F27" s="14" t="s">
        <v>80</v>
      </c>
      <c r="G27" s="14" t="s">
        <v>81</v>
      </c>
      <c r="H27" s="13" t="s">
        <v>43</v>
      </c>
      <c r="I27" s="14" t="s">
        <v>21</v>
      </c>
      <c r="J27" s="15">
        <v>1440</v>
      </c>
      <c r="K27" s="13" t="s">
        <v>37</v>
      </c>
      <c r="L27" s="15">
        <v>15000000000</v>
      </c>
      <c r="M27" s="16" t="s">
        <v>82</v>
      </c>
      <c r="N27" s="17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s="3" customFormat="1" x14ac:dyDescent="0.2">
      <c r="A28" s="14" t="s">
        <v>2986</v>
      </c>
      <c r="B28" s="14" t="s">
        <v>18</v>
      </c>
      <c r="C28" s="14">
        <v>2025</v>
      </c>
      <c r="D28" s="14" t="str">
        <f t="array" ref="D28">_xlfn.SWITCH(E28,"Bagor","35.18.14","Sukomoro",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28" s="13" t="s">
        <v>84</v>
      </c>
      <c r="F28" s="14" t="s">
        <v>83</v>
      </c>
      <c r="G28" s="14" t="s">
        <v>85</v>
      </c>
      <c r="H28" s="13" t="s">
        <v>20</v>
      </c>
      <c r="I28" s="14" t="s">
        <v>86</v>
      </c>
      <c r="J28" s="15">
        <v>60000</v>
      </c>
      <c r="K28" s="13" t="s">
        <v>87</v>
      </c>
      <c r="L28" s="15">
        <v>1250000000</v>
      </c>
      <c r="M28" s="16">
        <v>39435</v>
      </c>
      <c r="N28" s="17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s="3" customFormat="1" x14ac:dyDescent="0.2">
      <c r="A29" s="14" t="s">
        <v>2986</v>
      </c>
      <c r="B29" s="14" t="s">
        <v>18</v>
      </c>
      <c r="C29" s="14">
        <v>2025</v>
      </c>
      <c r="D29" s="14" t="str">
        <f t="array" ref="D29">_xlfn.SWITCH(E29,"Bagor","35.18.14","Sukomoro",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29" s="13" t="s">
        <v>57</v>
      </c>
      <c r="F29" s="14" t="s">
        <v>88</v>
      </c>
      <c r="G29" s="14" t="s">
        <v>89</v>
      </c>
      <c r="H29" s="13" t="s">
        <v>9</v>
      </c>
      <c r="I29" s="14" t="s">
        <v>10</v>
      </c>
      <c r="J29" s="15">
        <v>22500000</v>
      </c>
      <c r="K29" s="13" t="s">
        <v>11</v>
      </c>
      <c r="L29" s="15">
        <v>8415000000</v>
      </c>
      <c r="M29" s="16">
        <v>39100</v>
      </c>
      <c r="N29" s="17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s="3" customFormat="1" x14ac:dyDescent="0.2">
      <c r="A30" s="14" t="s">
        <v>2986</v>
      </c>
      <c r="B30" s="14" t="s">
        <v>18</v>
      </c>
      <c r="C30" s="14">
        <v>2025</v>
      </c>
      <c r="D30" s="14" t="str">
        <f t="array" ref="D30">_xlfn.SWITCH(E30,"Bagor","35.18.14","Sukomoro",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0" s="13" t="s">
        <v>91</v>
      </c>
      <c r="F30" s="14" t="s">
        <v>90</v>
      </c>
      <c r="G30" s="14" t="s">
        <v>92</v>
      </c>
      <c r="H30" s="13" t="s">
        <v>9</v>
      </c>
      <c r="I30" s="14" t="s">
        <v>93</v>
      </c>
      <c r="J30" s="15">
        <v>17500</v>
      </c>
      <c r="K30" s="13" t="s">
        <v>94</v>
      </c>
      <c r="L30" s="15">
        <v>437500000</v>
      </c>
      <c r="M30" s="16">
        <v>39155</v>
      </c>
      <c r="N30" s="17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s="3" customFormat="1" x14ac:dyDescent="0.2">
      <c r="A31" s="14" t="s">
        <v>2986</v>
      </c>
      <c r="B31" s="14" t="s">
        <v>18</v>
      </c>
      <c r="C31" s="14">
        <v>2025</v>
      </c>
      <c r="D31" s="14" t="str">
        <f t="array" ref="D31">_xlfn.SWITCH(E31,"Bagor","35.18.14","Sukomoro",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" s="13" t="s">
        <v>65</v>
      </c>
      <c r="F31" s="14" t="s">
        <v>95</v>
      </c>
      <c r="G31" s="14" t="s">
        <v>96</v>
      </c>
      <c r="H31" s="13" t="s">
        <v>20</v>
      </c>
      <c r="I31" s="14" t="s">
        <v>36</v>
      </c>
      <c r="J31" s="15">
        <v>27</v>
      </c>
      <c r="K31" s="13" t="s">
        <v>37</v>
      </c>
      <c r="L31" s="15">
        <v>117000000</v>
      </c>
      <c r="M31" s="16">
        <v>39169</v>
      </c>
      <c r="N31" s="17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</row>
    <row r="32" spans="1:67" s="3" customFormat="1" x14ac:dyDescent="0.2">
      <c r="A32" s="14" t="s">
        <v>2986</v>
      </c>
      <c r="B32" s="14" t="s">
        <v>18</v>
      </c>
      <c r="C32" s="14">
        <v>2025</v>
      </c>
      <c r="D32" s="14" t="str">
        <f t="array" ref="D32">_xlfn.SWITCH(E32,"Bagor","35.18.14","Sukomoro",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" s="13" t="s">
        <v>98</v>
      </c>
      <c r="F32" s="14" t="s">
        <v>97</v>
      </c>
      <c r="G32" s="14" t="s">
        <v>99</v>
      </c>
      <c r="H32" s="13" t="s">
        <v>20</v>
      </c>
      <c r="I32" s="14" t="s">
        <v>100</v>
      </c>
      <c r="J32" s="15">
        <v>720</v>
      </c>
      <c r="K32" s="13" t="s">
        <v>45</v>
      </c>
      <c r="L32" s="15">
        <v>5760000000</v>
      </c>
      <c r="M32" s="16">
        <v>39132</v>
      </c>
      <c r="N32" s="17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s="3" customFormat="1" x14ac:dyDescent="0.2">
      <c r="A33" s="14" t="s">
        <v>2986</v>
      </c>
      <c r="B33" s="14" t="s">
        <v>18</v>
      </c>
      <c r="C33" s="14">
        <v>2025</v>
      </c>
      <c r="D33" s="14" t="str">
        <f t="array" ref="D33">_xlfn.SWITCH(E33,"Bagor","35.18.14","Sukomoro",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3" s="13" t="s">
        <v>102</v>
      </c>
      <c r="F33" s="14" t="s">
        <v>101</v>
      </c>
      <c r="G33" s="14" t="s">
        <v>103</v>
      </c>
      <c r="H33" s="13" t="s">
        <v>20</v>
      </c>
      <c r="I33" s="14" t="s">
        <v>100</v>
      </c>
      <c r="J33" s="15">
        <v>250</v>
      </c>
      <c r="K33" s="13" t="s">
        <v>45</v>
      </c>
      <c r="L33" s="15">
        <v>2250000000</v>
      </c>
      <c r="M33" s="16">
        <v>38902</v>
      </c>
      <c r="N33" s="17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</row>
    <row r="34" spans="1:67" s="3" customFormat="1" x14ac:dyDescent="0.2">
      <c r="A34" s="14" t="s">
        <v>2986</v>
      </c>
      <c r="B34" s="14" t="s">
        <v>18</v>
      </c>
      <c r="C34" s="14">
        <v>2025</v>
      </c>
      <c r="D34" s="14" t="str">
        <f t="array" ref="D34">_xlfn.SWITCH(E34,"Bagor","35.18.14","Sukomoro",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4" s="13" t="s">
        <v>91</v>
      </c>
      <c r="F34" s="14" t="s">
        <v>104</v>
      </c>
      <c r="G34" s="14" t="s">
        <v>105</v>
      </c>
      <c r="H34" s="13" t="s">
        <v>20</v>
      </c>
      <c r="I34" s="14" t="s">
        <v>106</v>
      </c>
      <c r="J34" s="21">
        <v>4.5</v>
      </c>
      <c r="K34" s="13" t="s">
        <v>45</v>
      </c>
      <c r="L34" s="22">
        <v>28000000</v>
      </c>
      <c r="M34" s="16">
        <v>38982</v>
      </c>
      <c r="N34" s="17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s="3" customFormat="1" x14ac:dyDescent="0.2">
      <c r="A35" s="14" t="s">
        <v>2986</v>
      </c>
      <c r="B35" s="14" t="s">
        <v>18</v>
      </c>
      <c r="C35" s="14">
        <v>2025</v>
      </c>
      <c r="D35" s="14" t="str">
        <f t="array" ref="D35">_xlfn.SWITCH(E35,"Jatikalen","35.18.20","Kertosono", "35.18.08","Lengkong","35.18.19","Loceret","35.18.04","Tanjunganom","35.18.11","Wilangan","35.18.15")</f>
        <v>35.18.11</v>
      </c>
      <c r="E35" s="13" t="s">
        <v>27</v>
      </c>
      <c r="F35" s="14" t="s">
        <v>107</v>
      </c>
      <c r="G35" s="14" t="s">
        <v>108</v>
      </c>
      <c r="H35" s="13" t="s">
        <v>20</v>
      </c>
      <c r="I35" s="14" t="s">
        <v>109</v>
      </c>
      <c r="J35" s="21">
        <v>19.2</v>
      </c>
      <c r="K35" s="13" t="s">
        <v>45</v>
      </c>
      <c r="L35" s="22">
        <v>78650000</v>
      </c>
      <c r="M35" s="16">
        <v>38929</v>
      </c>
      <c r="N35" s="17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s="3" customFormat="1" x14ac:dyDescent="0.2">
      <c r="A36" s="14" t="s">
        <v>2986</v>
      </c>
      <c r="B36" s="14" t="s">
        <v>18</v>
      </c>
      <c r="C36" s="14">
        <v>2025</v>
      </c>
      <c r="D36" s="14" t="str">
        <f t="array" ref="D36">_xlfn.SWITCH(E36,"Bagor","35.18.14","Sukomoro",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" s="13" t="s">
        <v>7</v>
      </c>
      <c r="F36" s="14" t="s">
        <v>110</v>
      </c>
      <c r="G36" s="14" t="s">
        <v>111</v>
      </c>
      <c r="H36" s="13" t="s">
        <v>20</v>
      </c>
      <c r="I36" s="14" t="s">
        <v>109</v>
      </c>
      <c r="J36" s="21">
        <v>7.5</v>
      </c>
      <c r="K36" s="13" t="s">
        <v>45</v>
      </c>
      <c r="L36" s="22">
        <v>29000000</v>
      </c>
      <c r="M36" s="16">
        <v>39001</v>
      </c>
      <c r="N36" s="17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s="3" customFormat="1" x14ac:dyDescent="0.2">
      <c r="A37" s="14" t="s">
        <v>2986</v>
      </c>
      <c r="B37" s="14" t="s">
        <v>18</v>
      </c>
      <c r="C37" s="14">
        <v>2025</v>
      </c>
      <c r="D37" s="14" t="str">
        <f t="array" ref="D37">_xlfn.SWITCH(E37,"Bagor","35.18.14","Sukomoro",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7" s="13" t="s">
        <v>102</v>
      </c>
      <c r="F37" s="14" t="s">
        <v>112</v>
      </c>
      <c r="G37" s="14" t="s">
        <v>113</v>
      </c>
      <c r="H37" s="13" t="s">
        <v>20</v>
      </c>
      <c r="I37" s="14" t="s">
        <v>114</v>
      </c>
      <c r="J37" s="15">
        <v>30</v>
      </c>
      <c r="K37" s="13" t="s">
        <v>45</v>
      </c>
      <c r="L37" s="22">
        <f>30000*6500</f>
        <v>195000000</v>
      </c>
      <c r="M37" s="16">
        <v>38902</v>
      </c>
      <c r="N37" s="17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s="3" customFormat="1" x14ac:dyDescent="0.2">
      <c r="A38" s="14" t="s">
        <v>2986</v>
      </c>
      <c r="B38" s="14" t="s">
        <v>18</v>
      </c>
      <c r="C38" s="14">
        <v>2025</v>
      </c>
      <c r="D38" s="14" t="str">
        <f t="array" ref="D38">_xlfn.SWITCH(E38,"Bagor","35.18.14","Sukomoro",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8" s="13" t="s">
        <v>72</v>
      </c>
      <c r="F38" s="14" t="s">
        <v>72</v>
      </c>
      <c r="G38" s="14" t="s">
        <v>115</v>
      </c>
      <c r="H38" s="13" t="s">
        <v>20</v>
      </c>
      <c r="I38" s="14" t="s">
        <v>116</v>
      </c>
      <c r="J38" s="15">
        <v>24</v>
      </c>
      <c r="K38" s="13" t="s">
        <v>117</v>
      </c>
      <c r="L38" s="22">
        <v>12000000</v>
      </c>
      <c r="M38" s="16">
        <v>38904</v>
      </c>
      <c r="N38" s="17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s="3" customFormat="1" x14ac:dyDescent="0.2">
      <c r="A39" s="14" t="s">
        <v>2986</v>
      </c>
      <c r="B39" s="14" t="s">
        <v>18</v>
      </c>
      <c r="C39" s="14">
        <v>2025</v>
      </c>
      <c r="D39" s="14" t="str">
        <f t="array" ref="D39">_xlfn.SWITCH(E39,"Bagor","35.18.14","Sukomoro",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39" s="13" t="s">
        <v>119</v>
      </c>
      <c r="F39" s="14" t="s">
        <v>118</v>
      </c>
      <c r="G39" s="14" t="s">
        <v>120</v>
      </c>
      <c r="H39" s="13" t="s">
        <v>20</v>
      </c>
      <c r="I39" s="14" t="s">
        <v>121</v>
      </c>
      <c r="J39" s="15">
        <v>12</v>
      </c>
      <c r="K39" s="13" t="s">
        <v>45</v>
      </c>
      <c r="L39" s="22">
        <v>53500000</v>
      </c>
      <c r="M39" s="16">
        <v>38982</v>
      </c>
      <c r="N39" s="17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s="3" customFormat="1" x14ac:dyDescent="0.2">
      <c r="A40" s="14" t="s">
        <v>2986</v>
      </c>
      <c r="B40" s="14" t="s">
        <v>18</v>
      </c>
      <c r="C40" s="14">
        <v>2025</v>
      </c>
      <c r="D40" s="14" t="str">
        <f t="array" ref="D40">_xlfn.SWITCH(E40,"Jatikalen","35.18.20","Kertosono", "35.18.08","Lengkong","35.18.19","Loceret","35.18.04","Tanjunganom","35.18.11","Wilangan","35.18.15")</f>
        <v>35.18.11</v>
      </c>
      <c r="E40" s="13" t="s">
        <v>27</v>
      </c>
      <c r="F40" s="14" t="s">
        <v>107</v>
      </c>
      <c r="G40" s="14" t="s">
        <v>122</v>
      </c>
      <c r="H40" s="13" t="s">
        <v>9</v>
      </c>
      <c r="I40" s="14" t="s">
        <v>10</v>
      </c>
      <c r="J40" s="15">
        <v>2500000</v>
      </c>
      <c r="K40" s="13" t="s">
        <v>123</v>
      </c>
      <c r="L40" s="22">
        <v>935000000</v>
      </c>
      <c r="M40" s="16">
        <v>38726</v>
      </c>
      <c r="N40" s="17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s="3" customFormat="1" x14ac:dyDescent="0.2">
      <c r="A41" s="14" t="s">
        <v>2986</v>
      </c>
      <c r="B41" s="14" t="s">
        <v>18</v>
      </c>
      <c r="C41" s="14">
        <v>2025</v>
      </c>
      <c r="D41" s="14" t="str">
        <f t="array" ref="D41">_xlfn.SWITCH(E41,"Bagor","35.18.14","Sukomoro",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1" s="13" t="s">
        <v>7</v>
      </c>
      <c r="F41" s="14" t="s">
        <v>124</v>
      </c>
      <c r="G41" s="14" t="s">
        <v>125</v>
      </c>
      <c r="H41" s="13" t="s">
        <v>9</v>
      </c>
      <c r="I41" s="14" t="s">
        <v>10</v>
      </c>
      <c r="J41" s="15">
        <v>2088000</v>
      </c>
      <c r="K41" s="13" t="s">
        <v>123</v>
      </c>
      <c r="L41" s="22">
        <v>780912000</v>
      </c>
      <c r="M41" s="16">
        <v>38743</v>
      </c>
      <c r="N41" s="17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s="3" customFormat="1" x14ac:dyDescent="0.2">
      <c r="A42" s="14" t="s">
        <v>2986</v>
      </c>
      <c r="B42" s="14" t="s">
        <v>18</v>
      </c>
      <c r="C42" s="14">
        <v>2025</v>
      </c>
      <c r="D42" s="14" t="str">
        <f t="array" ref="D42">_xlfn.SWITCH(E42,"Jatikalen","35.18.20","Kertosono", "35.18.08","Lengkong","35.18.19","Loceret","35.18.04","Tanjunganom","35.18.11","Wilangan","35.18.15")</f>
        <v>35.18.11</v>
      </c>
      <c r="E42" s="13" t="s">
        <v>27</v>
      </c>
      <c r="F42" s="14" t="s">
        <v>126</v>
      </c>
      <c r="G42" s="14" t="s">
        <v>127</v>
      </c>
      <c r="H42" s="13" t="s">
        <v>9</v>
      </c>
      <c r="I42" s="14" t="s">
        <v>10</v>
      </c>
      <c r="J42" s="15">
        <v>2400000</v>
      </c>
      <c r="K42" s="13" t="s">
        <v>123</v>
      </c>
      <c r="L42" s="22">
        <f>J42*250</f>
        <v>600000000</v>
      </c>
      <c r="M42" s="20" t="s">
        <v>128</v>
      </c>
      <c r="N42" s="17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s="3" customFormat="1" x14ac:dyDescent="0.2">
      <c r="A43" s="14" t="s">
        <v>2986</v>
      </c>
      <c r="B43" s="14" t="s">
        <v>18</v>
      </c>
      <c r="C43" s="14">
        <v>2025</v>
      </c>
      <c r="D43" s="14" t="str">
        <f t="array" ref="D43">_xlfn.SWITCH(E43,"Bagor","35.18.14","Sukomoro",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3" s="13" t="s">
        <v>57</v>
      </c>
      <c r="F43" s="14" t="s">
        <v>129</v>
      </c>
      <c r="G43" s="14" t="s">
        <v>130</v>
      </c>
      <c r="H43" s="13" t="s">
        <v>9</v>
      </c>
      <c r="I43" s="14" t="s">
        <v>10</v>
      </c>
      <c r="J43" s="15">
        <v>2400000</v>
      </c>
      <c r="K43" s="13" t="s">
        <v>123</v>
      </c>
      <c r="L43" s="22">
        <v>897600000</v>
      </c>
      <c r="M43" s="16">
        <v>38792</v>
      </c>
      <c r="N43" s="1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s="3" customFormat="1" x14ac:dyDescent="0.2">
      <c r="A44" s="14" t="s">
        <v>2986</v>
      </c>
      <c r="B44" s="14" t="s">
        <v>18</v>
      </c>
      <c r="C44" s="14">
        <v>2025</v>
      </c>
      <c r="D44" s="14" t="str">
        <f t="array" ref="D44">_xlfn.SWITCH(E44,"Bagor","35.18.14","Sukomoro",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" s="13" t="s">
        <v>18</v>
      </c>
      <c r="F44" s="14" t="s">
        <v>131</v>
      </c>
      <c r="G44" s="14" t="s">
        <v>132</v>
      </c>
      <c r="H44" s="13" t="s">
        <v>9</v>
      </c>
      <c r="I44" s="14" t="s">
        <v>10</v>
      </c>
      <c r="J44" s="15">
        <v>2400000</v>
      </c>
      <c r="K44" s="13" t="s">
        <v>123</v>
      </c>
      <c r="L44" s="22">
        <v>897600000</v>
      </c>
      <c r="M44" s="16">
        <v>38840</v>
      </c>
      <c r="N44" s="17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s="3" customFormat="1" x14ac:dyDescent="0.2">
      <c r="A45" s="14" t="s">
        <v>2986</v>
      </c>
      <c r="B45" s="14" t="s">
        <v>18</v>
      </c>
      <c r="C45" s="14">
        <v>2025</v>
      </c>
      <c r="D45" s="14" t="str">
        <f t="array" ref="D45">_xlfn.SWITCH(E45,"Bagor","35.18.14","Sukomoro",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" s="13" t="s">
        <v>57</v>
      </c>
      <c r="F45" s="14" t="s">
        <v>133</v>
      </c>
      <c r="G45" s="14" t="s">
        <v>134</v>
      </c>
      <c r="H45" s="13" t="s">
        <v>20</v>
      </c>
      <c r="I45" s="14" t="s">
        <v>61</v>
      </c>
      <c r="J45" s="15">
        <v>170</v>
      </c>
      <c r="K45" s="13" t="s">
        <v>135</v>
      </c>
      <c r="L45" s="22">
        <v>810000000</v>
      </c>
      <c r="M45" s="18">
        <v>2006</v>
      </c>
      <c r="N45" s="17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s="3" customFormat="1" x14ac:dyDescent="0.2">
      <c r="A46" s="14" t="s">
        <v>2986</v>
      </c>
      <c r="B46" s="14" t="s">
        <v>18</v>
      </c>
      <c r="C46" s="14">
        <v>2025</v>
      </c>
      <c r="D46" s="14" t="str">
        <f t="array" ref="D46">_xlfn.SWITCH(E46,"Bagor","35.18.14","Sukomoro",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6" s="13" t="s">
        <v>7</v>
      </c>
      <c r="F46" s="14" t="s">
        <v>136</v>
      </c>
      <c r="G46" s="14" t="s">
        <v>137</v>
      </c>
      <c r="H46" s="13" t="s">
        <v>9</v>
      </c>
      <c r="I46" s="14" t="s">
        <v>10</v>
      </c>
      <c r="J46" s="15">
        <v>2400000</v>
      </c>
      <c r="K46" s="13" t="s">
        <v>123</v>
      </c>
      <c r="L46" s="22">
        <v>897600000</v>
      </c>
      <c r="M46" s="23" t="s">
        <v>138</v>
      </c>
      <c r="N46" s="17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s="3" customFormat="1" x14ac:dyDescent="0.2">
      <c r="A47" s="14" t="s">
        <v>2986</v>
      </c>
      <c r="B47" s="14" t="s">
        <v>18</v>
      </c>
      <c r="C47" s="14">
        <v>2025</v>
      </c>
      <c r="D47" s="14" t="str">
        <f t="array" ref="D47">_xlfn.SWITCH(E47,"Bagor","35.18.14","Sukomoro",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7" s="13" t="s">
        <v>7</v>
      </c>
      <c r="F47" s="14" t="s">
        <v>139</v>
      </c>
      <c r="G47" s="14" t="s">
        <v>140</v>
      </c>
      <c r="H47" s="13" t="s">
        <v>9</v>
      </c>
      <c r="I47" s="14" t="s">
        <v>10</v>
      </c>
      <c r="J47" s="15">
        <v>6000000</v>
      </c>
      <c r="K47" s="13" t="s">
        <v>123</v>
      </c>
      <c r="L47" s="22">
        <f>J47*250</f>
        <v>1500000000</v>
      </c>
      <c r="M47" s="20" t="s">
        <v>141</v>
      </c>
      <c r="N47" s="17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s="3" customFormat="1" x14ac:dyDescent="0.2">
      <c r="A48" s="14" t="s">
        <v>2986</v>
      </c>
      <c r="B48" s="14" t="s">
        <v>18</v>
      </c>
      <c r="C48" s="14">
        <v>2025</v>
      </c>
      <c r="D48" s="14" t="str">
        <f t="array" ref="D48">_xlfn.SWITCH(E48,"Jatikalen","35.18.20","Kertosono", "35.18.08","Lengkong","35.18.19","Loceret","35.18.04","Tanjunganom","35.18.11","Wilangan","35.18.15")</f>
        <v>35.18.11</v>
      </c>
      <c r="E48" s="13" t="s">
        <v>27</v>
      </c>
      <c r="F48" s="14" t="s">
        <v>142</v>
      </c>
      <c r="G48" s="14" t="s">
        <v>143</v>
      </c>
      <c r="H48" s="13" t="s">
        <v>9</v>
      </c>
      <c r="I48" s="14" t="s">
        <v>10</v>
      </c>
      <c r="J48" s="15">
        <v>90000000</v>
      </c>
      <c r="K48" s="13" t="s">
        <v>123</v>
      </c>
      <c r="L48" s="22">
        <v>28085000000</v>
      </c>
      <c r="M48" s="16">
        <v>39605</v>
      </c>
      <c r="N48" s="17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s="3" customFormat="1" x14ac:dyDescent="0.2">
      <c r="A49" s="14" t="s">
        <v>2986</v>
      </c>
      <c r="B49" s="14" t="s">
        <v>18</v>
      </c>
      <c r="C49" s="14">
        <v>2025</v>
      </c>
      <c r="D49" s="14" t="str">
        <f t="array" ref="D49">_xlfn.SWITCH(E49,"Jatikalen","35.18.20","Kertosono", "35.18.08","Lengkong","35.18.19","Loceret","35.18.04","Tanjunganom","35.18.11","Wilangan","35.18.15")</f>
        <v>35.18.11</v>
      </c>
      <c r="E49" s="13" t="s">
        <v>27</v>
      </c>
      <c r="F49" s="14" t="s">
        <v>142</v>
      </c>
      <c r="G49" s="14" t="s">
        <v>144</v>
      </c>
      <c r="H49" s="13" t="s">
        <v>9</v>
      </c>
      <c r="I49" s="14" t="s">
        <v>10</v>
      </c>
      <c r="J49" s="15">
        <v>60000000</v>
      </c>
      <c r="K49" s="13" t="s">
        <v>123</v>
      </c>
      <c r="L49" s="22">
        <v>22440000000</v>
      </c>
      <c r="M49" s="16">
        <v>39028</v>
      </c>
      <c r="N49" s="17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s="3" customFormat="1" x14ac:dyDescent="0.2">
      <c r="A50" s="14" t="s">
        <v>2986</v>
      </c>
      <c r="B50" s="14" t="s">
        <v>18</v>
      </c>
      <c r="C50" s="14">
        <v>2025</v>
      </c>
      <c r="D50" s="14" t="str">
        <f t="array" ref="D50">_xlfn.SWITCH(E50,"Bagor","35.18.14","Sukomoro",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" s="13" t="s">
        <v>65</v>
      </c>
      <c r="F50" s="14" t="s">
        <v>145</v>
      </c>
      <c r="G50" s="14" t="s">
        <v>146</v>
      </c>
      <c r="H50" s="13" t="s">
        <v>20</v>
      </c>
      <c r="I50" s="14" t="s">
        <v>147</v>
      </c>
      <c r="J50" s="15">
        <v>60000</v>
      </c>
      <c r="K50" s="13" t="s">
        <v>148</v>
      </c>
      <c r="L50" s="22">
        <v>250000000</v>
      </c>
      <c r="M50" s="16">
        <v>38870</v>
      </c>
      <c r="N50" s="17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s="3" customFormat="1" x14ac:dyDescent="0.2">
      <c r="A51" s="14" t="s">
        <v>2986</v>
      </c>
      <c r="B51" s="14" t="s">
        <v>18</v>
      </c>
      <c r="C51" s="14">
        <v>2025</v>
      </c>
      <c r="D51" s="14" t="str">
        <f t="array" ref="D51">_xlfn.SWITCH(E51,"Bagor","35.18.14","Sukomoro",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1" s="13" t="s">
        <v>84</v>
      </c>
      <c r="F51" s="14" t="s">
        <v>149</v>
      </c>
      <c r="G51" s="14" t="s">
        <v>150</v>
      </c>
      <c r="H51" s="13" t="s">
        <v>20</v>
      </c>
      <c r="I51" s="14" t="s">
        <v>147</v>
      </c>
      <c r="J51" s="15">
        <v>90000</v>
      </c>
      <c r="K51" s="13" t="s">
        <v>148</v>
      </c>
      <c r="L51" s="22">
        <v>375000000</v>
      </c>
      <c r="M51" s="16">
        <v>38889</v>
      </c>
      <c r="N51" s="17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</row>
    <row r="52" spans="1:67" s="3" customFormat="1" x14ac:dyDescent="0.2">
      <c r="A52" s="14" t="s">
        <v>2986</v>
      </c>
      <c r="B52" s="14" t="s">
        <v>18</v>
      </c>
      <c r="C52" s="14">
        <v>2025</v>
      </c>
      <c r="D52" s="14" t="str">
        <f t="array" ref="D52">_xlfn.SWITCH(E52,"Bagor","35.18.14","Sukomoro",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2" s="13" t="s">
        <v>7</v>
      </c>
      <c r="F52" s="14" t="s">
        <v>151</v>
      </c>
      <c r="G52" s="14" t="s">
        <v>152</v>
      </c>
      <c r="H52" s="13" t="s">
        <v>9</v>
      </c>
      <c r="I52" s="14" t="s">
        <v>21</v>
      </c>
      <c r="J52" s="15">
        <v>72</v>
      </c>
      <c r="K52" s="13" t="s">
        <v>135</v>
      </c>
      <c r="L52" s="22">
        <v>129600000</v>
      </c>
      <c r="M52" s="16">
        <v>38734</v>
      </c>
      <c r="N52" s="17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</row>
    <row r="53" spans="1:67" s="3" customFormat="1" x14ac:dyDescent="0.2">
      <c r="A53" s="14" t="s">
        <v>2986</v>
      </c>
      <c r="B53" s="14" t="s">
        <v>18</v>
      </c>
      <c r="C53" s="14">
        <v>2025</v>
      </c>
      <c r="D53" s="14" t="str">
        <f t="array" ref="D53">_xlfn.SWITCH(E53,"Bagor","35.18.14","Sukomoro",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" s="13" t="s">
        <v>98</v>
      </c>
      <c r="F53" s="14" t="s">
        <v>153</v>
      </c>
      <c r="G53" s="14" t="s">
        <v>154</v>
      </c>
      <c r="H53" s="13" t="s">
        <v>20</v>
      </c>
      <c r="I53" s="14" t="s">
        <v>21</v>
      </c>
      <c r="J53" s="15">
        <v>100</v>
      </c>
      <c r="K53" s="13" t="s">
        <v>135</v>
      </c>
      <c r="L53" s="22">
        <v>180000000</v>
      </c>
      <c r="M53" s="16">
        <v>39505</v>
      </c>
      <c r="N53" s="17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s="3" customFormat="1" x14ac:dyDescent="0.2">
      <c r="A54" s="14" t="s">
        <v>2986</v>
      </c>
      <c r="B54" s="14" t="s">
        <v>18</v>
      </c>
      <c r="C54" s="14">
        <v>2025</v>
      </c>
      <c r="D54" s="14" t="str">
        <f t="array" ref="D54">_xlfn.SWITCH(E54,"Jatikalen","35.18.20","Kertosono", "35.18.08","Lengkong","35.18.19","Loceret","35.18.04","Tanjunganom","35.18.11","Wilangan","35.18.15")</f>
        <v>35.18.04</v>
      </c>
      <c r="E54" s="13" t="s">
        <v>15</v>
      </c>
      <c r="F54" s="14" t="s">
        <v>155</v>
      </c>
      <c r="G54" s="14" t="s">
        <v>156</v>
      </c>
      <c r="H54" s="13" t="s">
        <v>20</v>
      </c>
      <c r="I54" s="14" t="s">
        <v>21</v>
      </c>
      <c r="J54" s="15">
        <v>98</v>
      </c>
      <c r="K54" s="13" t="s">
        <v>135</v>
      </c>
      <c r="L54" s="22">
        <v>176000000</v>
      </c>
      <c r="M54" s="16">
        <v>38779</v>
      </c>
      <c r="N54" s="17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s="3" customFormat="1" x14ac:dyDescent="0.2">
      <c r="A55" s="14" t="s">
        <v>2986</v>
      </c>
      <c r="B55" s="14" t="s">
        <v>18</v>
      </c>
      <c r="C55" s="14">
        <v>2025</v>
      </c>
      <c r="D55" s="14" t="str">
        <f t="array" ref="D55">_xlfn.SWITCH(E55,"Bagor","35.18.14","Sukomoro",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5" s="13" t="s">
        <v>7</v>
      </c>
      <c r="F55" s="14" t="s">
        <v>157</v>
      </c>
      <c r="G55" s="14" t="s">
        <v>158</v>
      </c>
      <c r="H55" s="13" t="s">
        <v>20</v>
      </c>
      <c r="I55" s="14" t="s">
        <v>21</v>
      </c>
      <c r="J55" s="15">
        <v>48</v>
      </c>
      <c r="K55" s="13" t="s">
        <v>135</v>
      </c>
      <c r="L55" s="22">
        <v>98400000</v>
      </c>
      <c r="M55" s="16">
        <v>38820</v>
      </c>
      <c r="N55" s="17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s="3" customFormat="1" x14ac:dyDescent="0.2">
      <c r="A56" s="14" t="s">
        <v>2986</v>
      </c>
      <c r="B56" s="14" t="s">
        <v>18</v>
      </c>
      <c r="C56" s="14">
        <v>2025</v>
      </c>
      <c r="D56" s="14" t="str">
        <f t="array" ref="D56">_xlfn.SWITCH(E56,"Bagor","35.18.14","Sukomoro",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6" s="13" t="s">
        <v>57</v>
      </c>
      <c r="F56" s="14" t="s">
        <v>159</v>
      </c>
      <c r="G56" s="14" t="s">
        <v>160</v>
      </c>
      <c r="H56" s="13" t="s">
        <v>20</v>
      </c>
      <c r="I56" s="14" t="s">
        <v>21</v>
      </c>
      <c r="J56" s="15">
        <v>120</v>
      </c>
      <c r="K56" s="13" t="s">
        <v>135</v>
      </c>
      <c r="L56" s="22">
        <v>216000000</v>
      </c>
      <c r="M56" s="16">
        <v>39002</v>
      </c>
      <c r="N56" s="17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s="3" customFormat="1" x14ac:dyDescent="0.2">
      <c r="A57" s="14" t="s">
        <v>2986</v>
      </c>
      <c r="B57" s="14" t="s">
        <v>18</v>
      </c>
      <c r="C57" s="14">
        <v>2025</v>
      </c>
      <c r="D57" s="14" t="str">
        <f t="array" ref="D57">_xlfn.SWITCH(E57,"Bagor","35.18.14","Sukomoro",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7" s="13" t="s">
        <v>7</v>
      </c>
      <c r="F57" s="14" t="s">
        <v>161</v>
      </c>
      <c r="G57" s="14" t="s">
        <v>162</v>
      </c>
      <c r="H57" s="13" t="s">
        <v>20</v>
      </c>
      <c r="I57" s="14" t="s">
        <v>21</v>
      </c>
      <c r="J57" s="15">
        <v>150</v>
      </c>
      <c r="K57" s="13" t="s">
        <v>135</v>
      </c>
      <c r="L57" s="22">
        <v>270000000</v>
      </c>
      <c r="M57" s="16">
        <v>38786</v>
      </c>
      <c r="N57" s="17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s="3" customFormat="1" x14ac:dyDescent="0.2">
      <c r="A58" s="14" t="s">
        <v>2986</v>
      </c>
      <c r="B58" s="14" t="s">
        <v>18</v>
      </c>
      <c r="C58" s="14">
        <v>2025</v>
      </c>
      <c r="D58" s="14" t="str">
        <f t="array" ref="D58">_xlfn.SWITCH(E58,"Bagor","35.18.14","Sukomoro",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8" s="13" t="s">
        <v>102</v>
      </c>
      <c r="F58" s="14" t="s">
        <v>112</v>
      </c>
      <c r="G58" s="14" t="s">
        <v>163</v>
      </c>
      <c r="H58" s="13" t="s">
        <v>9</v>
      </c>
      <c r="I58" s="14" t="s">
        <v>164</v>
      </c>
      <c r="J58" s="15">
        <v>24</v>
      </c>
      <c r="K58" s="13" t="s">
        <v>53</v>
      </c>
      <c r="L58" s="22">
        <v>30000000</v>
      </c>
      <c r="M58" s="16">
        <v>38960</v>
      </c>
      <c r="N58" s="17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s="3" customFormat="1" x14ac:dyDescent="0.2">
      <c r="A59" s="14" t="s">
        <v>2986</v>
      </c>
      <c r="B59" s="14" t="s">
        <v>18</v>
      </c>
      <c r="C59" s="14">
        <v>2025</v>
      </c>
      <c r="D59" s="14" t="str">
        <f t="array" ref="D59">_xlfn.SWITCH(E59,"Jatikalen","35.18.20","Kertosono", "35.18.08","Lengkong","35.18.19","Loceret","35.18.04","Tanjunganom","35.18.11","Wilangan","35.18.15")</f>
        <v>35.18.04</v>
      </c>
      <c r="E59" s="13" t="s">
        <v>15</v>
      </c>
      <c r="F59" s="14" t="s">
        <v>62</v>
      </c>
      <c r="G59" s="14" t="s">
        <v>165</v>
      </c>
      <c r="H59" s="13" t="s">
        <v>20</v>
      </c>
      <c r="I59" s="14" t="s">
        <v>166</v>
      </c>
      <c r="J59" s="15">
        <v>12000</v>
      </c>
      <c r="K59" s="13" t="s">
        <v>167</v>
      </c>
      <c r="L59" s="22">
        <v>359500000</v>
      </c>
      <c r="M59" s="24" t="s">
        <v>168</v>
      </c>
      <c r="N59" s="17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s="3" customFormat="1" x14ac:dyDescent="0.2">
      <c r="A60" s="14" t="s">
        <v>2986</v>
      </c>
      <c r="B60" s="14" t="s">
        <v>18</v>
      </c>
      <c r="C60" s="14">
        <v>2025</v>
      </c>
      <c r="D60" s="14" t="str">
        <f t="array" ref="D60">_xlfn.SWITCH(E60,"Bagor","35.18.14","Sukomoro",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" s="13" t="s">
        <v>50</v>
      </c>
      <c r="F60" s="14" t="s">
        <v>169</v>
      </c>
      <c r="G60" s="14" t="s">
        <v>170</v>
      </c>
      <c r="H60" s="13" t="s">
        <v>20</v>
      </c>
      <c r="I60" s="14" t="s">
        <v>166</v>
      </c>
      <c r="J60" s="15">
        <v>20000</v>
      </c>
      <c r="K60" s="13" t="s">
        <v>167</v>
      </c>
      <c r="L60" s="22">
        <v>585500000</v>
      </c>
      <c r="M60" s="16">
        <v>38904</v>
      </c>
      <c r="N60" s="17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s="3" customFormat="1" x14ac:dyDescent="0.2">
      <c r="A61" s="14" t="s">
        <v>2986</v>
      </c>
      <c r="B61" s="14" t="s">
        <v>18</v>
      </c>
      <c r="C61" s="14">
        <v>2025</v>
      </c>
      <c r="D61" s="14" t="str">
        <f t="array" ref="D61">_xlfn.SWITCH(E61,"Jatikalen","35.18.20","Kertosono", "35.18.08","Lengkong","35.18.19","Loceret","35.18.04","Tanjunganom","35.18.11","Wilangan","35.18.15")</f>
        <v>35.18.11</v>
      </c>
      <c r="E61" s="13" t="s">
        <v>27</v>
      </c>
      <c r="F61" s="14" t="s">
        <v>26</v>
      </c>
      <c r="G61" s="14" t="s">
        <v>171</v>
      </c>
      <c r="H61" s="13" t="s">
        <v>20</v>
      </c>
      <c r="I61" s="14" t="s">
        <v>172</v>
      </c>
      <c r="J61" s="15">
        <v>2000</v>
      </c>
      <c r="K61" s="13" t="s">
        <v>22</v>
      </c>
      <c r="L61" s="22">
        <v>270000000</v>
      </c>
      <c r="M61" s="16">
        <v>38887</v>
      </c>
      <c r="N61" s="17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s="3" customFormat="1" x14ac:dyDescent="0.2">
      <c r="A62" s="14" t="s">
        <v>2986</v>
      </c>
      <c r="B62" s="14" t="s">
        <v>18</v>
      </c>
      <c r="C62" s="14">
        <v>2025</v>
      </c>
      <c r="D62" s="14" t="str">
        <f t="array" ref="D62">_xlfn.SWITCH(E62,"Jatikalen","35.18.20","Kertosono", "35.18.08","Lengkong","35.18.19","Loceret","35.18.04","Tanjunganom","35.18.11","Wilangan","35.18.15")</f>
        <v>35.18.11</v>
      </c>
      <c r="E62" s="13" t="s">
        <v>27</v>
      </c>
      <c r="F62" s="14" t="s">
        <v>107</v>
      </c>
      <c r="G62" s="14" t="s">
        <v>173</v>
      </c>
      <c r="H62" s="13" t="s">
        <v>9</v>
      </c>
      <c r="I62" s="14" t="s">
        <v>164</v>
      </c>
      <c r="J62" s="15">
        <v>120</v>
      </c>
      <c r="K62" s="13" t="s">
        <v>53</v>
      </c>
      <c r="L62" s="22">
        <v>151200000</v>
      </c>
      <c r="M62" s="16">
        <v>38742</v>
      </c>
      <c r="N62" s="17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s="3" customFormat="1" x14ac:dyDescent="0.2">
      <c r="A63" s="14" t="s">
        <v>2986</v>
      </c>
      <c r="B63" s="14" t="s">
        <v>18</v>
      </c>
      <c r="C63" s="14">
        <v>2025</v>
      </c>
      <c r="D63" s="14" t="str">
        <f t="array" ref="D63">_xlfn.SWITCH(E63,"Bagor","35.18.14","Sukomoro",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" s="13" t="s">
        <v>50</v>
      </c>
      <c r="F63" s="25" t="s">
        <v>174</v>
      </c>
      <c r="G63" s="25" t="s">
        <v>175</v>
      </c>
      <c r="H63" s="13" t="s">
        <v>20</v>
      </c>
      <c r="I63" s="14" t="s">
        <v>176</v>
      </c>
      <c r="J63" s="15">
        <v>60</v>
      </c>
      <c r="K63" s="13" t="s">
        <v>45</v>
      </c>
      <c r="L63" s="22">
        <f>60000*55000</f>
        <v>3300000000</v>
      </c>
      <c r="M63" s="16">
        <v>39650</v>
      </c>
      <c r="N63" s="17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s="3" customFormat="1" x14ac:dyDescent="0.2">
      <c r="A64" s="14" t="s">
        <v>2986</v>
      </c>
      <c r="B64" s="14" t="s">
        <v>18</v>
      </c>
      <c r="C64" s="14">
        <v>2025</v>
      </c>
      <c r="D64" s="14" t="str">
        <f t="array" ref="D64">_xlfn.SWITCH(E64,"Bagor","35.18.14","Sukomoro",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4" s="13" t="s">
        <v>119</v>
      </c>
      <c r="F64" s="25" t="s">
        <v>177</v>
      </c>
      <c r="G64" s="25" t="s">
        <v>178</v>
      </c>
      <c r="H64" s="13" t="s">
        <v>20</v>
      </c>
      <c r="I64" s="14" t="s">
        <v>61</v>
      </c>
      <c r="J64" s="15">
        <v>88</v>
      </c>
      <c r="K64" s="13" t="s">
        <v>135</v>
      </c>
      <c r="L64" s="22">
        <v>138000000</v>
      </c>
      <c r="M64" s="16">
        <v>38364</v>
      </c>
      <c r="N64" s="17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s="3" customFormat="1" x14ac:dyDescent="0.2">
      <c r="A65" s="14" t="s">
        <v>2986</v>
      </c>
      <c r="B65" s="14" t="s">
        <v>18</v>
      </c>
      <c r="C65" s="14">
        <v>2025</v>
      </c>
      <c r="D65" s="14" t="str">
        <f t="array" ref="D65">_xlfn.SWITCH(E65,"Bagor","35.18.14","Sukomoro",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65" s="13" t="s">
        <v>72</v>
      </c>
      <c r="F65" s="25" t="s">
        <v>179</v>
      </c>
      <c r="G65" s="25" t="s">
        <v>180</v>
      </c>
      <c r="H65" s="13" t="s">
        <v>20</v>
      </c>
      <c r="I65" s="14" t="s">
        <v>181</v>
      </c>
      <c r="J65" s="15">
        <v>360000</v>
      </c>
      <c r="K65" s="13" t="s">
        <v>22</v>
      </c>
      <c r="L65" s="22">
        <v>730000000</v>
      </c>
      <c r="M65" s="16">
        <v>38380</v>
      </c>
      <c r="N65" s="17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s="3" customFormat="1" x14ac:dyDescent="0.2">
      <c r="A66" s="14" t="s">
        <v>2986</v>
      </c>
      <c r="B66" s="14" t="s">
        <v>18</v>
      </c>
      <c r="C66" s="14">
        <v>2025</v>
      </c>
      <c r="D66" s="14" t="str">
        <f t="array" ref="D66">_xlfn.SWITCH(E66,"Bagor","35.18.14","Sukomoro",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6" s="13" t="s">
        <v>119</v>
      </c>
      <c r="F66" s="25" t="s">
        <v>177</v>
      </c>
      <c r="G66" s="25" t="s">
        <v>182</v>
      </c>
      <c r="H66" s="13" t="s">
        <v>20</v>
      </c>
      <c r="I66" s="14" t="s">
        <v>61</v>
      </c>
      <c r="J66" s="15">
        <v>30</v>
      </c>
      <c r="K66" s="13" t="s">
        <v>135</v>
      </c>
      <c r="L66" s="22">
        <v>45000000</v>
      </c>
      <c r="M66" s="16">
        <v>38427</v>
      </c>
      <c r="N66" s="17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s="3" customFormat="1" x14ac:dyDescent="0.2">
      <c r="A67" s="14" t="s">
        <v>2986</v>
      </c>
      <c r="B67" s="14" t="s">
        <v>18</v>
      </c>
      <c r="C67" s="14">
        <v>2025</v>
      </c>
      <c r="D67" s="14" t="str">
        <f t="array" ref="D67">_xlfn.SWITCH(E67,"Bagor","35.18.14","Sukomoro",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7" s="13" t="s">
        <v>65</v>
      </c>
      <c r="F67" s="25" t="s">
        <v>183</v>
      </c>
      <c r="G67" s="25" t="s">
        <v>184</v>
      </c>
      <c r="H67" s="13" t="s">
        <v>20</v>
      </c>
      <c r="I67" s="14" t="s">
        <v>55</v>
      </c>
      <c r="J67" s="15">
        <v>100</v>
      </c>
      <c r="K67" s="13" t="s">
        <v>22</v>
      </c>
      <c r="L67" s="22">
        <v>125500000</v>
      </c>
      <c r="M67" s="16">
        <v>38435</v>
      </c>
      <c r="N67" s="17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s="3" customFormat="1" x14ac:dyDescent="0.2">
      <c r="A68" s="14" t="s">
        <v>2986</v>
      </c>
      <c r="B68" s="14" t="s">
        <v>18</v>
      </c>
      <c r="C68" s="14">
        <v>2025</v>
      </c>
      <c r="D68" s="14" t="str">
        <f t="array" ref="D68">_xlfn.SWITCH(E68,"Bagor","35.18.14","Sukomoro",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8" s="13" t="s">
        <v>65</v>
      </c>
      <c r="F68" s="25" t="s">
        <v>185</v>
      </c>
      <c r="G68" s="25" t="s">
        <v>186</v>
      </c>
      <c r="H68" s="13" t="s">
        <v>20</v>
      </c>
      <c r="I68" s="14" t="s">
        <v>21</v>
      </c>
      <c r="J68" s="15">
        <v>126</v>
      </c>
      <c r="K68" s="13" t="s">
        <v>22</v>
      </c>
      <c r="L68" s="22">
        <v>850000000</v>
      </c>
      <c r="M68" s="18">
        <v>2005</v>
      </c>
      <c r="N68" s="17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s="3" customFormat="1" x14ac:dyDescent="0.2">
      <c r="A69" s="14" t="s">
        <v>2986</v>
      </c>
      <c r="B69" s="14" t="s">
        <v>18</v>
      </c>
      <c r="C69" s="14">
        <v>2025</v>
      </c>
      <c r="D69" s="14" t="str">
        <f t="array" ref="D69">_xlfn.SWITCH(E69,"Bagor","35.18.14","Sukomoro",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69" s="13" t="s">
        <v>24</v>
      </c>
      <c r="F69" s="25" t="s">
        <v>187</v>
      </c>
      <c r="G69" s="25" t="s">
        <v>188</v>
      </c>
      <c r="H69" s="13" t="s">
        <v>9</v>
      </c>
      <c r="I69" s="14" t="s">
        <v>10</v>
      </c>
      <c r="J69" s="15">
        <v>2400000</v>
      </c>
      <c r="K69" s="13" t="s">
        <v>123</v>
      </c>
      <c r="L69" s="22">
        <v>897600000</v>
      </c>
      <c r="M69" s="16">
        <v>39786</v>
      </c>
      <c r="N69" s="17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s="3" customFormat="1" x14ac:dyDescent="0.2">
      <c r="A70" s="14" t="s">
        <v>2986</v>
      </c>
      <c r="B70" s="14" t="s">
        <v>18</v>
      </c>
      <c r="C70" s="14">
        <v>2025</v>
      </c>
      <c r="D70" s="14" t="str">
        <f t="array" ref="D70">_xlfn.SWITCH(E70,"Bagor","35.18.14","Sukomoro",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0" s="13" t="s">
        <v>65</v>
      </c>
      <c r="F70" s="25" t="s">
        <v>145</v>
      </c>
      <c r="G70" s="25" t="s">
        <v>189</v>
      </c>
      <c r="H70" s="13" t="s">
        <v>20</v>
      </c>
      <c r="I70" s="14" t="s">
        <v>61</v>
      </c>
      <c r="J70" s="15">
        <v>75</v>
      </c>
      <c r="K70" s="13" t="s">
        <v>135</v>
      </c>
      <c r="L70" s="22">
        <v>135000000</v>
      </c>
      <c r="M70" s="16">
        <v>38481</v>
      </c>
      <c r="N70" s="17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s="3" customFormat="1" x14ac:dyDescent="0.2">
      <c r="A71" s="14" t="s">
        <v>2986</v>
      </c>
      <c r="B71" s="14" t="s">
        <v>18</v>
      </c>
      <c r="C71" s="14">
        <v>2025</v>
      </c>
      <c r="D71" s="14" t="str">
        <f t="array" ref="D71">_xlfn.SWITCH(E71,"Bagor","35.18.14","Sukomoro",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1" s="13" t="s">
        <v>24</v>
      </c>
      <c r="F71" s="25" t="s">
        <v>190</v>
      </c>
      <c r="G71" s="25" t="s">
        <v>191</v>
      </c>
      <c r="H71" s="13" t="s">
        <v>20</v>
      </c>
      <c r="I71" s="14" t="s">
        <v>61</v>
      </c>
      <c r="J71" s="15">
        <v>60</v>
      </c>
      <c r="K71" s="13" t="s">
        <v>135</v>
      </c>
      <c r="L71" s="22">
        <v>108000000</v>
      </c>
      <c r="M71" s="16">
        <v>38491</v>
      </c>
      <c r="N71" s="17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s="3" customFormat="1" x14ac:dyDescent="0.2">
      <c r="A72" s="14" t="s">
        <v>2986</v>
      </c>
      <c r="B72" s="14" t="s">
        <v>18</v>
      </c>
      <c r="C72" s="14">
        <v>2025</v>
      </c>
      <c r="D72" s="14" t="str">
        <f t="array" ref="D72">_xlfn.SWITCH(E72,"Bagor","35.18.14","Sukomoro",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2" s="13" t="s">
        <v>7</v>
      </c>
      <c r="F72" s="25" t="s">
        <v>157</v>
      </c>
      <c r="G72" s="25" t="s">
        <v>192</v>
      </c>
      <c r="H72" s="13" t="s">
        <v>20</v>
      </c>
      <c r="I72" s="14" t="s">
        <v>61</v>
      </c>
      <c r="J72" s="15">
        <v>25</v>
      </c>
      <c r="K72" s="13" t="s">
        <v>135</v>
      </c>
      <c r="L72" s="22">
        <v>45000000</v>
      </c>
      <c r="M72" s="18">
        <v>2005</v>
      </c>
      <c r="N72" s="17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</row>
    <row r="73" spans="1:67" s="3" customFormat="1" x14ac:dyDescent="0.2">
      <c r="A73" s="14" t="s">
        <v>2986</v>
      </c>
      <c r="B73" s="14" t="s">
        <v>18</v>
      </c>
      <c r="C73" s="14">
        <v>2025</v>
      </c>
      <c r="D73" s="14" t="str">
        <f t="array" ref="D73">_xlfn.SWITCH(E73,"Jatikalen","35.18.20","Kertosono", "35.18.08","Lengkong","35.18.19","Loceret","35.18.04","Tanjunganom","35.18.11","Wilangan","35.18.15")</f>
        <v>35.18.11</v>
      </c>
      <c r="E73" s="13" t="s">
        <v>27</v>
      </c>
      <c r="F73" s="25" t="s">
        <v>26</v>
      </c>
      <c r="G73" s="25" t="s">
        <v>193</v>
      </c>
      <c r="H73" s="13" t="s">
        <v>9</v>
      </c>
      <c r="I73" s="14" t="s">
        <v>10</v>
      </c>
      <c r="J73" s="15">
        <v>5400000</v>
      </c>
      <c r="K73" s="13" t="s">
        <v>123</v>
      </c>
      <c r="L73" s="22">
        <v>2149600000</v>
      </c>
      <c r="M73" s="16">
        <v>38566</v>
      </c>
      <c r="N73" s="17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s="3" customFormat="1" x14ac:dyDescent="0.2">
      <c r="A74" s="14" t="s">
        <v>2986</v>
      </c>
      <c r="B74" s="14" t="s">
        <v>18</v>
      </c>
      <c r="C74" s="14">
        <v>2025</v>
      </c>
      <c r="D74" s="14" t="str">
        <f t="array" ref="D74">_xlfn.SWITCH(E74,"Bagor","35.18.14","Sukomoro",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74" s="13" t="s">
        <v>119</v>
      </c>
      <c r="F74" s="25" t="s">
        <v>177</v>
      </c>
      <c r="G74" s="25" t="s">
        <v>194</v>
      </c>
      <c r="H74" s="13" t="s">
        <v>9</v>
      </c>
      <c r="I74" s="14" t="s">
        <v>10</v>
      </c>
      <c r="J74" s="15">
        <v>5400000</v>
      </c>
      <c r="K74" s="13" t="s">
        <v>123</v>
      </c>
      <c r="L74" s="22">
        <v>2019600000</v>
      </c>
      <c r="M74" s="16">
        <v>38566</v>
      </c>
      <c r="N74" s="17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s="3" customFormat="1" x14ac:dyDescent="0.2">
      <c r="A75" s="14" t="s">
        <v>2986</v>
      </c>
      <c r="B75" s="14" t="s">
        <v>18</v>
      </c>
      <c r="C75" s="14">
        <v>2025</v>
      </c>
      <c r="D75" s="14" t="str">
        <f t="array" ref="D75">_xlfn.SWITCH(E75,"Bagor","35.18.14","Sukomoro",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75" s="13" t="s">
        <v>72</v>
      </c>
      <c r="F75" s="25" t="s">
        <v>195</v>
      </c>
      <c r="G75" s="25" t="s">
        <v>196</v>
      </c>
      <c r="H75" s="13" t="s">
        <v>20</v>
      </c>
      <c r="I75" s="14" t="s">
        <v>114</v>
      </c>
      <c r="J75" s="15">
        <v>144</v>
      </c>
      <c r="K75" s="13" t="s">
        <v>45</v>
      </c>
      <c r="L75" s="22">
        <v>835000000</v>
      </c>
      <c r="M75" s="16">
        <v>38609</v>
      </c>
      <c r="N75" s="17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</row>
    <row r="76" spans="1:67" s="3" customFormat="1" x14ac:dyDescent="0.2">
      <c r="A76" s="14" t="s">
        <v>2986</v>
      </c>
      <c r="B76" s="14" t="s">
        <v>18</v>
      </c>
      <c r="C76" s="14">
        <v>2025</v>
      </c>
      <c r="D76" s="14" t="str">
        <f t="array" ref="D76">_xlfn.SWITCH(E76,"Jatikalen","35.18.20","Kertosono", "35.18.08","Lengkong","35.18.19","Loceret","35.18.04","Tanjunganom","35.18.11","Wilangan","35.18.15")</f>
        <v>35.18.08</v>
      </c>
      <c r="E76" s="13" t="s">
        <v>75</v>
      </c>
      <c r="F76" s="25" t="s">
        <v>197</v>
      </c>
      <c r="G76" s="25" t="s">
        <v>198</v>
      </c>
      <c r="H76" s="13" t="s">
        <v>20</v>
      </c>
      <c r="I76" s="14" t="s">
        <v>61</v>
      </c>
      <c r="J76" s="15">
        <v>80</v>
      </c>
      <c r="K76" s="13" t="s">
        <v>135</v>
      </c>
      <c r="L76" s="22">
        <v>603000000</v>
      </c>
      <c r="M76" s="18">
        <v>2005</v>
      </c>
      <c r="N76" s="17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s="3" customFormat="1" x14ac:dyDescent="0.2">
      <c r="A77" s="14" t="s">
        <v>2986</v>
      </c>
      <c r="B77" s="14" t="s">
        <v>18</v>
      </c>
      <c r="C77" s="14">
        <v>2025</v>
      </c>
      <c r="D77" s="14" t="str">
        <f t="array" ref="D77">_xlfn.SWITCH(E77,"Bagor","35.18.14","Sukomoro",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7" s="13" t="s">
        <v>18</v>
      </c>
      <c r="F77" s="25" t="s">
        <v>199</v>
      </c>
      <c r="G77" s="25" t="s">
        <v>200</v>
      </c>
      <c r="H77" s="13" t="s">
        <v>20</v>
      </c>
      <c r="I77" s="14" t="s">
        <v>61</v>
      </c>
      <c r="J77" s="15">
        <v>70</v>
      </c>
      <c r="K77" s="13" t="s">
        <v>135</v>
      </c>
      <c r="L77" s="22">
        <v>112000000</v>
      </c>
      <c r="M77" s="16">
        <v>38615</v>
      </c>
      <c r="N77" s="17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s="3" customFormat="1" x14ac:dyDescent="0.2">
      <c r="A78" s="14" t="s">
        <v>2986</v>
      </c>
      <c r="B78" s="14" t="s">
        <v>18</v>
      </c>
      <c r="C78" s="14">
        <v>2025</v>
      </c>
      <c r="D78" s="14" t="str">
        <f t="array" ref="D78">_xlfn.SWITCH(E78,"Bagor","35.18.14","Sukomoro",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8" s="13" t="s">
        <v>50</v>
      </c>
      <c r="F78" s="25" t="s">
        <v>80</v>
      </c>
      <c r="G78" s="25" t="s">
        <v>201</v>
      </c>
      <c r="H78" s="13" t="s">
        <v>20</v>
      </c>
      <c r="I78" s="14" t="s">
        <v>61</v>
      </c>
      <c r="J78" s="15">
        <v>300</v>
      </c>
      <c r="K78" s="13" t="s">
        <v>135</v>
      </c>
      <c r="L78" s="22">
        <v>540000000</v>
      </c>
      <c r="M78" s="16">
        <v>38617</v>
      </c>
      <c r="N78" s="17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s="3" customFormat="1" x14ac:dyDescent="0.2">
      <c r="A79" s="14" t="s">
        <v>2986</v>
      </c>
      <c r="B79" s="14" t="s">
        <v>18</v>
      </c>
      <c r="C79" s="14">
        <v>2025</v>
      </c>
      <c r="D79" s="14" t="str">
        <f t="array" ref="D79">_xlfn.SWITCH(E79,"Jatikalen","35.18.20","Kertosono", "35.18.08","Lengkong","35.18.19","Loceret","35.18.04","Tanjunganom","35.18.11","Wilangan","35.18.15")</f>
        <v>35.18.04</v>
      </c>
      <c r="E79" s="13" t="s">
        <v>15</v>
      </c>
      <c r="F79" s="25" t="s">
        <v>202</v>
      </c>
      <c r="G79" s="25" t="s">
        <v>203</v>
      </c>
      <c r="H79" s="13" t="s">
        <v>20</v>
      </c>
      <c r="I79" s="14" t="s">
        <v>61</v>
      </c>
      <c r="J79" s="15">
        <v>240</v>
      </c>
      <c r="K79" s="13" t="s">
        <v>37</v>
      </c>
      <c r="L79" s="22">
        <v>3200000000</v>
      </c>
      <c r="M79" s="16">
        <v>39687</v>
      </c>
      <c r="N79" s="17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s="3" customFormat="1" x14ac:dyDescent="0.2">
      <c r="A80" s="14" t="s">
        <v>2986</v>
      </c>
      <c r="B80" s="14" t="s">
        <v>18</v>
      </c>
      <c r="C80" s="14">
        <v>2025</v>
      </c>
      <c r="D80" s="14" t="str">
        <f t="array" ref="D80">_xlfn.SWITCH(E80,"Bagor","35.18.14","Sukomoro",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0" s="13" t="s">
        <v>18</v>
      </c>
      <c r="F80" s="25" t="s">
        <v>204</v>
      </c>
      <c r="G80" s="25" t="s">
        <v>205</v>
      </c>
      <c r="H80" s="13" t="s">
        <v>20</v>
      </c>
      <c r="I80" s="14" t="s">
        <v>206</v>
      </c>
      <c r="J80" s="15">
        <v>530</v>
      </c>
      <c r="K80" s="13" t="s">
        <v>207</v>
      </c>
      <c r="L80" s="22">
        <v>115000000</v>
      </c>
      <c r="M80" s="26">
        <v>39864</v>
      </c>
      <c r="N80" s="17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s="3" customFormat="1" x14ac:dyDescent="0.2">
      <c r="A81" s="14" t="s">
        <v>2986</v>
      </c>
      <c r="B81" s="14" t="s">
        <v>18</v>
      </c>
      <c r="C81" s="14">
        <v>2025</v>
      </c>
      <c r="D81" s="14" t="str">
        <f t="array" ref="D81">_xlfn.SWITCH(E81,"Bagor","35.18.14","Sukomoro",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1" s="13" t="s">
        <v>102</v>
      </c>
      <c r="F81" s="25" t="s">
        <v>208</v>
      </c>
      <c r="G81" s="25" t="s">
        <v>209</v>
      </c>
      <c r="H81" s="13" t="s">
        <v>20</v>
      </c>
      <c r="I81" s="14" t="s">
        <v>61</v>
      </c>
      <c r="J81" s="15">
        <v>80</v>
      </c>
      <c r="K81" s="13" t="s">
        <v>135</v>
      </c>
      <c r="L81" s="22">
        <v>144000000</v>
      </c>
      <c r="M81" s="16">
        <v>38646</v>
      </c>
      <c r="N81" s="17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s="3" customFormat="1" x14ac:dyDescent="0.2">
      <c r="A82" s="14" t="s">
        <v>2986</v>
      </c>
      <c r="B82" s="14" t="s">
        <v>18</v>
      </c>
      <c r="C82" s="14">
        <v>2025</v>
      </c>
      <c r="D82" s="14" t="str">
        <f t="array" ref="D82">_xlfn.SWITCH(E82,"Bagor","35.18.14","Sukomoro",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2" s="13" t="s">
        <v>102</v>
      </c>
      <c r="F82" s="25" t="s">
        <v>101</v>
      </c>
      <c r="G82" s="25" t="s">
        <v>210</v>
      </c>
      <c r="H82" s="13" t="s">
        <v>20</v>
      </c>
      <c r="I82" s="14" t="s">
        <v>211</v>
      </c>
      <c r="J82" s="15">
        <v>15000</v>
      </c>
      <c r="K82" s="13" t="s">
        <v>87</v>
      </c>
      <c r="L82" s="22">
        <v>450000000</v>
      </c>
      <c r="M82" s="16">
        <v>38705</v>
      </c>
      <c r="N82" s="17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s="3" customFormat="1" x14ac:dyDescent="0.2">
      <c r="A83" s="14" t="s">
        <v>2986</v>
      </c>
      <c r="B83" s="14" t="s">
        <v>18</v>
      </c>
      <c r="C83" s="14">
        <v>2025</v>
      </c>
      <c r="D83" s="14" t="str">
        <f t="array" ref="D83">_xlfn.SWITCH(E83,"Bagor","35.18.14","Sukomoro",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" s="13" t="s">
        <v>7</v>
      </c>
      <c r="F83" s="25" t="s">
        <v>124</v>
      </c>
      <c r="G83" s="25" t="s">
        <v>212</v>
      </c>
      <c r="H83" s="13" t="s">
        <v>20</v>
      </c>
      <c r="I83" s="14" t="s">
        <v>36</v>
      </c>
      <c r="J83" s="15">
        <v>40</v>
      </c>
      <c r="K83" s="13" t="s">
        <v>37</v>
      </c>
      <c r="L83" s="22">
        <v>120000000</v>
      </c>
      <c r="M83" s="26">
        <v>39904</v>
      </c>
      <c r="N83" s="17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s="3" customFormat="1" x14ac:dyDescent="0.2">
      <c r="A84" s="14" t="s">
        <v>2986</v>
      </c>
      <c r="B84" s="14" t="s">
        <v>18</v>
      </c>
      <c r="C84" s="14">
        <v>2025</v>
      </c>
      <c r="D84" s="14" t="str">
        <f t="array" ref="D84">_xlfn.SWITCH(E84,"Bagor","35.18.14","Sukomoro",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84" s="13" t="s">
        <v>91</v>
      </c>
      <c r="F84" s="25" t="s">
        <v>104</v>
      </c>
      <c r="G84" s="25" t="s">
        <v>213</v>
      </c>
      <c r="H84" s="13" t="s">
        <v>9</v>
      </c>
      <c r="I84" s="14" t="s">
        <v>214</v>
      </c>
      <c r="J84" s="15">
        <v>15000</v>
      </c>
      <c r="K84" s="13" t="s">
        <v>87</v>
      </c>
      <c r="L84" s="22">
        <v>100000000</v>
      </c>
      <c r="M84" s="18">
        <v>2004</v>
      </c>
      <c r="N84" s="17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s="3" customFormat="1" x14ac:dyDescent="0.2">
      <c r="A85" s="14" t="s">
        <v>2986</v>
      </c>
      <c r="B85" s="14" t="s">
        <v>18</v>
      </c>
      <c r="C85" s="14">
        <v>2025</v>
      </c>
      <c r="D85" s="14" t="str">
        <f t="array" ref="D85">_xlfn.SWITCH(E85,"Bagor","35.18.14","Sukomoro",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5" s="13" t="s">
        <v>102</v>
      </c>
      <c r="F85" s="25" t="s">
        <v>215</v>
      </c>
      <c r="G85" s="25" t="s">
        <v>216</v>
      </c>
      <c r="H85" s="13" t="s">
        <v>9</v>
      </c>
      <c r="I85" s="14" t="s">
        <v>100</v>
      </c>
      <c r="J85" s="15">
        <v>15000</v>
      </c>
      <c r="K85" s="13" t="s">
        <v>217</v>
      </c>
      <c r="L85" s="22">
        <v>95000000</v>
      </c>
      <c r="M85" s="18">
        <v>2004</v>
      </c>
      <c r="N85" s="17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s="3" customFormat="1" x14ac:dyDescent="0.2">
      <c r="A86" s="14" t="s">
        <v>2986</v>
      </c>
      <c r="B86" s="14" t="s">
        <v>18</v>
      </c>
      <c r="C86" s="14">
        <v>2025</v>
      </c>
      <c r="D86" s="14" t="str">
        <f t="array" ref="D86">_xlfn.SWITCH(E86,"Bagor","35.18.14","Sukomoro",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86" s="13" t="s">
        <v>50</v>
      </c>
      <c r="F86" s="25" t="s">
        <v>218</v>
      </c>
      <c r="G86" s="25" t="s">
        <v>219</v>
      </c>
      <c r="H86" s="13" t="s">
        <v>20</v>
      </c>
      <c r="I86" s="14" t="s">
        <v>21</v>
      </c>
      <c r="J86" s="15">
        <v>160</v>
      </c>
      <c r="K86" s="13" t="s">
        <v>22</v>
      </c>
      <c r="L86" s="22">
        <v>104000000</v>
      </c>
      <c r="M86" s="18">
        <v>2004</v>
      </c>
      <c r="N86" s="17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s="3" customFormat="1" x14ac:dyDescent="0.2">
      <c r="A87" s="14" t="s">
        <v>2986</v>
      </c>
      <c r="B87" s="14" t="s">
        <v>18</v>
      </c>
      <c r="C87" s="14">
        <v>2025</v>
      </c>
      <c r="D87" s="14" t="str">
        <f t="array" ref="D87">_xlfn.SWITCH(E87,"Jatikalen","35.18.20","Kertosono", "35.18.08","Lengkong","35.18.19","Loceret","35.18.04","Tanjunganom","35.18.11","Wilangan","35.18.15")</f>
        <v>35.18.11</v>
      </c>
      <c r="E87" s="13" t="s">
        <v>27</v>
      </c>
      <c r="F87" s="25" t="s">
        <v>220</v>
      </c>
      <c r="G87" s="25" t="s">
        <v>221</v>
      </c>
      <c r="H87" s="13" t="s">
        <v>20</v>
      </c>
      <c r="I87" s="14" t="s">
        <v>21</v>
      </c>
      <c r="J87" s="15">
        <v>142</v>
      </c>
      <c r="K87" s="13" t="s">
        <v>22</v>
      </c>
      <c r="L87" s="22">
        <v>774000000</v>
      </c>
      <c r="M87" s="18">
        <v>2004</v>
      </c>
      <c r="N87" s="17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s="3" customFormat="1" x14ac:dyDescent="0.2">
      <c r="A88" s="14" t="s">
        <v>2986</v>
      </c>
      <c r="B88" s="14" t="s">
        <v>18</v>
      </c>
      <c r="C88" s="14">
        <v>2025</v>
      </c>
      <c r="D88" s="14" t="str">
        <f t="array" ref="D88">_xlfn.SWITCH(E88,"Jatikalen","35.18.20","Kertosono", "35.18.08","Lengkong","35.18.19","Loceret","35.18.04","Tanjunganom","35.18.11","Wilangan","35.18.15")</f>
        <v>35.18.11</v>
      </c>
      <c r="E88" s="13" t="s">
        <v>27</v>
      </c>
      <c r="F88" s="25" t="s">
        <v>222</v>
      </c>
      <c r="G88" s="25" t="s">
        <v>223</v>
      </c>
      <c r="H88" s="13" t="s">
        <v>224</v>
      </c>
      <c r="I88" s="14" t="s">
        <v>225</v>
      </c>
      <c r="J88" s="15">
        <v>45000</v>
      </c>
      <c r="K88" s="13" t="s">
        <v>217</v>
      </c>
      <c r="L88" s="22">
        <v>1125000000</v>
      </c>
      <c r="M88" s="18">
        <v>2007</v>
      </c>
      <c r="N88" s="17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s="3" customFormat="1" x14ac:dyDescent="0.2">
      <c r="A89" s="14" t="s">
        <v>2986</v>
      </c>
      <c r="B89" s="14" t="s">
        <v>18</v>
      </c>
      <c r="C89" s="14">
        <v>2025</v>
      </c>
      <c r="D89" s="14" t="str">
        <f t="array" ref="D89">_xlfn.SWITCH(E89,"Bagor","35.18.14","Sukomoro",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9" s="13" t="s">
        <v>57</v>
      </c>
      <c r="F89" s="25" t="s">
        <v>157</v>
      </c>
      <c r="G89" s="25" t="s">
        <v>226</v>
      </c>
      <c r="H89" s="13" t="s">
        <v>20</v>
      </c>
      <c r="I89" s="14" t="s">
        <v>61</v>
      </c>
      <c r="J89" s="15">
        <v>46</v>
      </c>
      <c r="K89" s="13" t="s">
        <v>22</v>
      </c>
      <c r="L89" s="22">
        <v>474400000</v>
      </c>
      <c r="M89" s="18">
        <v>2003</v>
      </c>
      <c r="N89" s="17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s="3" customFormat="1" x14ac:dyDescent="0.2">
      <c r="A90" s="14" t="s">
        <v>2986</v>
      </c>
      <c r="B90" s="14" t="s">
        <v>18</v>
      </c>
      <c r="C90" s="14">
        <v>2025</v>
      </c>
      <c r="D90" s="14" t="str">
        <f t="array" ref="D90">_xlfn.SWITCH(E90,"Bagor","35.18.14","Sukomoro",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0" s="13" t="s">
        <v>35</v>
      </c>
      <c r="F90" s="25" t="s">
        <v>227</v>
      </c>
      <c r="G90" s="25" t="s">
        <v>228</v>
      </c>
      <c r="H90" s="13" t="s">
        <v>20</v>
      </c>
      <c r="I90" s="14" t="s">
        <v>229</v>
      </c>
      <c r="J90" s="15">
        <v>4500</v>
      </c>
      <c r="K90" s="13" t="s">
        <v>217</v>
      </c>
      <c r="L90" s="22">
        <v>2375000000</v>
      </c>
      <c r="M90" s="16">
        <v>39637</v>
      </c>
      <c r="N90" s="17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s="3" customFormat="1" x14ac:dyDescent="0.2">
      <c r="A91" s="14" t="s">
        <v>2986</v>
      </c>
      <c r="B91" s="14" t="s">
        <v>18</v>
      </c>
      <c r="C91" s="14">
        <v>2025</v>
      </c>
      <c r="D91" s="14" t="str">
        <f t="array" ref="D91">_xlfn.SWITCH(E91,"Bagor","35.18.14","Sukomoro",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1" s="13" t="s">
        <v>7</v>
      </c>
      <c r="F91" s="25" t="s">
        <v>124</v>
      </c>
      <c r="G91" s="25" t="s">
        <v>230</v>
      </c>
      <c r="H91" s="13" t="s">
        <v>20</v>
      </c>
      <c r="I91" s="14" t="s">
        <v>61</v>
      </c>
      <c r="J91" s="15">
        <v>120</v>
      </c>
      <c r="K91" s="13" t="s">
        <v>22</v>
      </c>
      <c r="L91" s="22">
        <v>639000000</v>
      </c>
      <c r="M91" s="18">
        <v>2003</v>
      </c>
      <c r="N91" s="17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s="3" customFormat="1" x14ac:dyDescent="0.2">
      <c r="A92" s="14" t="s">
        <v>2986</v>
      </c>
      <c r="B92" s="14" t="s">
        <v>18</v>
      </c>
      <c r="C92" s="14">
        <v>2025</v>
      </c>
      <c r="D92" s="14" t="str">
        <f t="array" ref="D92">_xlfn.SWITCH(E92,"Bagor","35.18.14","Sukomoro",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2" s="13" t="s">
        <v>35</v>
      </c>
      <c r="F92" s="25" t="s">
        <v>231</v>
      </c>
      <c r="G92" s="25" t="s">
        <v>232</v>
      </c>
      <c r="H92" s="13" t="s">
        <v>9</v>
      </c>
      <c r="I92" s="14" t="s">
        <v>109</v>
      </c>
      <c r="J92" s="15">
        <v>51</v>
      </c>
      <c r="K92" s="13" t="s">
        <v>45</v>
      </c>
      <c r="L92" s="22">
        <v>78650000</v>
      </c>
      <c r="M92" s="18">
        <v>2003</v>
      </c>
      <c r="N92" s="17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s="3" customFormat="1" x14ac:dyDescent="0.2">
      <c r="A93" s="14" t="s">
        <v>2986</v>
      </c>
      <c r="B93" s="14" t="s">
        <v>18</v>
      </c>
      <c r="C93" s="14">
        <v>2025</v>
      </c>
      <c r="D93" s="14" t="str">
        <f t="array" ref="D93">_xlfn.SWITCH(E93,"Bagor","35.18.14","Sukomoro",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" s="13" t="s">
        <v>65</v>
      </c>
      <c r="F93" s="25" t="s">
        <v>233</v>
      </c>
      <c r="G93" s="25" t="s">
        <v>234</v>
      </c>
      <c r="H93" s="13" t="s">
        <v>20</v>
      </c>
      <c r="I93" s="14" t="s">
        <v>21</v>
      </c>
      <c r="J93" s="15">
        <v>30</v>
      </c>
      <c r="K93" s="13" t="s">
        <v>37</v>
      </c>
      <c r="L93" s="22">
        <v>119000000</v>
      </c>
      <c r="M93" s="18">
        <v>2003</v>
      </c>
      <c r="N93" s="17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s="3" customFormat="1" x14ac:dyDescent="0.2">
      <c r="A94" s="14" t="s">
        <v>2986</v>
      </c>
      <c r="B94" s="14" t="s">
        <v>18</v>
      </c>
      <c r="C94" s="14">
        <v>2025</v>
      </c>
      <c r="D94" s="14" t="str">
        <f t="array" ref="D94">_xlfn.SWITCH(E94,"Bagor","35.18.14","Sukomoro",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4" s="13" t="s">
        <v>65</v>
      </c>
      <c r="F94" s="25" t="s">
        <v>64</v>
      </c>
      <c r="G94" s="14" t="s">
        <v>235</v>
      </c>
      <c r="H94" s="13" t="s">
        <v>9</v>
      </c>
      <c r="I94" s="14" t="s">
        <v>10</v>
      </c>
      <c r="J94" s="15">
        <v>4750000</v>
      </c>
      <c r="K94" s="13" t="s">
        <v>11</v>
      </c>
      <c r="L94" s="22">
        <v>1776500000</v>
      </c>
      <c r="M94" s="16">
        <v>39352</v>
      </c>
      <c r="N94" s="17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</row>
    <row r="95" spans="1:67" s="3" customFormat="1" x14ac:dyDescent="0.2">
      <c r="A95" s="14" t="s">
        <v>2986</v>
      </c>
      <c r="B95" s="14" t="s">
        <v>18</v>
      </c>
      <c r="C95" s="14">
        <v>2025</v>
      </c>
      <c r="D95" s="14" t="str">
        <f t="array" ref="D95">_xlfn.SWITCH(E95,"Bagor","35.18.14","Sukomoro",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" s="13" t="s">
        <v>65</v>
      </c>
      <c r="F95" s="14" t="s">
        <v>236</v>
      </c>
      <c r="G95" s="14" t="s">
        <v>237</v>
      </c>
      <c r="H95" s="13" t="s">
        <v>9</v>
      </c>
      <c r="I95" s="14" t="s">
        <v>10</v>
      </c>
      <c r="J95" s="15">
        <v>6000000</v>
      </c>
      <c r="K95" s="13" t="s">
        <v>11</v>
      </c>
      <c r="L95" s="22">
        <f>J95*260</f>
        <v>1560000000</v>
      </c>
      <c r="M95" s="20" t="s">
        <v>67</v>
      </c>
      <c r="N95" s="17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</row>
    <row r="96" spans="1:67" s="3" customFormat="1" x14ac:dyDescent="0.2">
      <c r="A96" s="14" t="s">
        <v>2986</v>
      </c>
      <c r="B96" s="14" t="s">
        <v>18</v>
      </c>
      <c r="C96" s="14">
        <v>2025</v>
      </c>
      <c r="D96" s="14" t="str">
        <f t="array" ref="D96">_xlfn.SWITCH(E96,"Bagor","35.18.14","Sukomoro",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6" s="13" t="s">
        <v>65</v>
      </c>
      <c r="F96" s="14" t="s">
        <v>233</v>
      </c>
      <c r="G96" s="14" t="s">
        <v>238</v>
      </c>
      <c r="H96" s="13" t="s">
        <v>9</v>
      </c>
      <c r="I96" s="14" t="s">
        <v>10</v>
      </c>
      <c r="J96" s="15">
        <v>15000000</v>
      </c>
      <c r="K96" s="13" t="s">
        <v>11</v>
      </c>
      <c r="L96" s="22">
        <v>5610000000</v>
      </c>
      <c r="M96" s="20" t="s">
        <v>239</v>
      </c>
      <c r="N96" s="17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</row>
    <row r="97" spans="1:67" s="3" customFormat="1" x14ac:dyDescent="0.2">
      <c r="A97" s="14" t="s">
        <v>2986</v>
      </c>
      <c r="B97" s="14" t="s">
        <v>18</v>
      </c>
      <c r="C97" s="14">
        <v>2025</v>
      </c>
      <c r="D97" s="14" t="str">
        <f t="array" ref="D97">_xlfn.SWITCH(E97,"Bagor","35.18.14","Sukomoro",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" s="13" t="s">
        <v>65</v>
      </c>
      <c r="F97" s="14" t="s">
        <v>240</v>
      </c>
      <c r="G97" s="14" t="s">
        <v>241</v>
      </c>
      <c r="H97" s="13" t="s">
        <v>9</v>
      </c>
      <c r="I97" s="14" t="s">
        <v>10</v>
      </c>
      <c r="J97" s="15">
        <v>1200000</v>
      </c>
      <c r="K97" s="13" t="s">
        <v>11</v>
      </c>
      <c r="L97" s="22">
        <f>J97*280</f>
        <v>336000000</v>
      </c>
      <c r="M97" s="20" t="s">
        <v>242</v>
      </c>
      <c r="N97" s="17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</row>
    <row r="98" spans="1:67" s="3" customFormat="1" x14ac:dyDescent="0.2">
      <c r="A98" s="14" t="s">
        <v>2986</v>
      </c>
      <c r="B98" s="14" t="s">
        <v>18</v>
      </c>
      <c r="C98" s="14">
        <v>2025</v>
      </c>
      <c r="D98" s="14" t="str">
        <f t="array" ref="D98">_xlfn.SWITCH(E98,"Bagor","35.18.14","Sukomoro",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" s="13" t="s">
        <v>102</v>
      </c>
      <c r="F98" s="14" t="s">
        <v>243</v>
      </c>
      <c r="G98" s="14" t="s">
        <v>244</v>
      </c>
      <c r="H98" s="13" t="s">
        <v>20</v>
      </c>
      <c r="I98" s="14" t="s">
        <v>245</v>
      </c>
      <c r="J98" s="27">
        <v>3750</v>
      </c>
      <c r="K98" s="13" t="s">
        <v>246</v>
      </c>
      <c r="L98" s="15">
        <v>37500000</v>
      </c>
      <c r="M98" s="18">
        <v>2003</v>
      </c>
      <c r="N98" s="17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</row>
    <row r="99" spans="1:67" s="3" customFormat="1" x14ac:dyDescent="0.2">
      <c r="A99" s="14" t="s">
        <v>2986</v>
      </c>
      <c r="B99" s="14" t="s">
        <v>18</v>
      </c>
      <c r="C99" s="14">
        <v>2025</v>
      </c>
      <c r="D99" s="14" t="str">
        <f t="array" ref="D99">_xlfn.SWITCH(E99,"Bagor","35.18.14","Sukomoro",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" s="13" t="s">
        <v>102</v>
      </c>
      <c r="F99" s="14" t="s">
        <v>208</v>
      </c>
      <c r="G99" s="14" t="s">
        <v>247</v>
      </c>
      <c r="H99" s="13" t="s">
        <v>20</v>
      </c>
      <c r="I99" s="14" t="s">
        <v>21</v>
      </c>
      <c r="J99" s="27">
        <v>22</v>
      </c>
      <c r="K99" s="13" t="s">
        <v>37</v>
      </c>
      <c r="L99" s="15">
        <v>79375000</v>
      </c>
      <c r="M99" s="18">
        <v>2003</v>
      </c>
      <c r="N99" s="17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</row>
    <row r="100" spans="1:67" s="3" customFormat="1" x14ac:dyDescent="0.2">
      <c r="A100" s="14" t="s">
        <v>2986</v>
      </c>
      <c r="B100" s="14" t="s">
        <v>18</v>
      </c>
      <c r="C100" s="14">
        <v>2025</v>
      </c>
      <c r="D100" s="14" t="str">
        <f t="array" ref="D100">_xlfn.SWITCH(E100,"Jatikalen","35.18.20","Kertosono", "35.18.08","Lengkong","35.18.19","Loceret","35.18.04","Tanjunganom","35.18.11","Wilangan","35.18.15")</f>
        <v>35.18.04</v>
      </c>
      <c r="E100" s="13" t="s">
        <v>15</v>
      </c>
      <c r="F100" s="25" t="s">
        <v>248</v>
      </c>
      <c r="G100" s="14" t="s">
        <v>249</v>
      </c>
      <c r="H100" s="13" t="s">
        <v>20</v>
      </c>
      <c r="I100" s="14" t="s">
        <v>250</v>
      </c>
      <c r="J100" s="15">
        <v>75000</v>
      </c>
      <c r="K100" s="13" t="s">
        <v>251</v>
      </c>
      <c r="L100" s="15">
        <v>175000000</v>
      </c>
      <c r="M100" s="9">
        <v>2003</v>
      </c>
      <c r="N100" s="17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</row>
    <row r="101" spans="1:67" s="3" customFormat="1" x14ac:dyDescent="0.2">
      <c r="A101" s="14" t="s">
        <v>2986</v>
      </c>
      <c r="B101" s="14" t="s">
        <v>18</v>
      </c>
      <c r="C101" s="14">
        <v>2025</v>
      </c>
      <c r="D101" s="14" t="str">
        <f t="array" ref="D101">_xlfn.SWITCH(E101,"Jatikalen","35.18.20","Kertosono", "35.18.08","Lengkong","35.18.19","Loceret","35.18.04","Tanjunganom","35.18.11","Wilangan","35.18.15")</f>
        <v>35.18.04</v>
      </c>
      <c r="E101" s="13" t="s">
        <v>15</v>
      </c>
      <c r="F101" s="25" t="s">
        <v>252</v>
      </c>
      <c r="G101" s="14" t="s">
        <v>253</v>
      </c>
      <c r="H101" s="13" t="s">
        <v>20</v>
      </c>
      <c r="I101" s="14" t="s">
        <v>166</v>
      </c>
      <c r="J101" s="15">
        <v>38700</v>
      </c>
      <c r="K101" s="13" t="s">
        <v>167</v>
      </c>
      <c r="L101" s="15">
        <v>1141650000</v>
      </c>
      <c r="M101" s="9">
        <v>2003</v>
      </c>
      <c r="N101" s="17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</row>
    <row r="102" spans="1:67" s="3" customFormat="1" x14ac:dyDescent="0.2">
      <c r="A102" s="14" t="s">
        <v>2986</v>
      </c>
      <c r="B102" s="14" t="s">
        <v>18</v>
      </c>
      <c r="C102" s="14">
        <v>2025</v>
      </c>
      <c r="D102" s="14" t="str">
        <f t="array" ref="D102">_xlfn.SWITCH(E102,"Jatikalen","35.18.20","Kertosono", "35.18.08","Lengkong","35.18.19","Loceret","35.18.04","Tanjunganom","35.18.11","Wilangan","35.18.15")</f>
        <v>35.18.04</v>
      </c>
      <c r="E102" s="13" t="s">
        <v>15</v>
      </c>
      <c r="F102" s="25" t="s">
        <v>254</v>
      </c>
      <c r="G102" s="14" t="s">
        <v>255</v>
      </c>
      <c r="H102" s="13" t="s">
        <v>9</v>
      </c>
      <c r="I102" s="14" t="s">
        <v>10</v>
      </c>
      <c r="J102" s="15">
        <v>1800000</v>
      </c>
      <c r="K102" s="13" t="s">
        <v>11</v>
      </c>
      <c r="L102" s="15">
        <v>673200000</v>
      </c>
      <c r="M102" s="16">
        <v>39133</v>
      </c>
      <c r="N102" s="17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</row>
    <row r="103" spans="1:67" s="3" customFormat="1" x14ac:dyDescent="0.2">
      <c r="A103" s="14" t="s">
        <v>2986</v>
      </c>
      <c r="B103" s="14" t="s">
        <v>18</v>
      </c>
      <c r="C103" s="14">
        <v>2025</v>
      </c>
      <c r="D103" s="14" t="str">
        <f t="array" ref="D103">_xlfn.SWITCH(E103,"Bagor","35.18.14","Sukomoro",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3" s="13" t="s">
        <v>18</v>
      </c>
      <c r="F103" s="25" t="s">
        <v>256</v>
      </c>
      <c r="G103" s="14" t="s">
        <v>257</v>
      </c>
      <c r="H103" s="13" t="s">
        <v>9</v>
      </c>
      <c r="I103" s="14" t="s">
        <v>10</v>
      </c>
      <c r="J103" s="15">
        <v>4000000</v>
      </c>
      <c r="K103" s="13" t="s">
        <v>11</v>
      </c>
      <c r="L103" s="15">
        <v>1496000000</v>
      </c>
      <c r="M103" s="16">
        <v>39240</v>
      </c>
      <c r="N103" s="17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</row>
    <row r="104" spans="1:67" s="3" customFormat="1" x14ac:dyDescent="0.2">
      <c r="A104" s="14" t="s">
        <v>2986</v>
      </c>
      <c r="B104" s="14" t="s">
        <v>18</v>
      </c>
      <c r="C104" s="14">
        <v>2025</v>
      </c>
      <c r="D104" s="14" t="str">
        <f t="array" ref="D104">_xlfn.SWITCH(E104,"Bagor","35.18.14","Sukomoro",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04" s="13" t="s">
        <v>65</v>
      </c>
      <c r="F104" s="25" t="s">
        <v>65</v>
      </c>
      <c r="G104" s="25" t="s">
        <v>258</v>
      </c>
      <c r="H104" s="13" t="s">
        <v>20</v>
      </c>
      <c r="I104" s="14" t="s">
        <v>61</v>
      </c>
      <c r="J104" s="15">
        <v>140</v>
      </c>
      <c r="K104" s="13" t="s">
        <v>22</v>
      </c>
      <c r="L104" s="15">
        <v>1875000000</v>
      </c>
      <c r="M104" s="9">
        <v>2003</v>
      </c>
      <c r="N104" s="17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</row>
    <row r="105" spans="1:67" s="3" customFormat="1" x14ac:dyDescent="0.2">
      <c r="A105" s="14" t="s">
        <v>2986</v>
      </c>
      <c r="B105" s="14" t="s">
        <v>18</v>
      </c>
      <c r="C105" s="14">
        <v>2025</v>
      </c>
      <c r="D105" s="14" t="str">
        <f t="array" ref="D105">_xlfn.SWITCH(E105,"Jatikalen","35.18.20","Kertosono", "35.18.08","Lengkong","35.18.19","Loceret","35.18.04","Tanjunganom","35.18.11","Wilangan","35.18.15")</f>
        <v>35.18.19</v>
      </c>
      <c r="E105" s="13" t="s">
        <v>30</v>
      </c>
      <c r="F105" s="25" t="s">
        <v>259</v>
      </c>
      <c r="G105" s="14" t="s">
        <v>260</v>
      </c>
      <c r="H105" s="13" t="s">
        <v>9</v>
      </c>
      <c r="I105" s="14" t="s">
        <v>10</v>
      </c>
      <c r="J105" s="27">
        <v>3000000</v>
      </c>
      <c r="K105" s="13" t="s">
        <v>11</v>
      </c>
      <c r="L105" s="15">
        <v>1230000000</v>
      </c>
      <c r="M105" s="9">
        <v>2008</v>
      </c>
      <c r="N105" s="17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</row>
    <row r="106" spans="1:67" s="3" customFormat="1" x14ac:dyDescent="0.2">
      <c r="A106" s="14" t="s">
        <v>2986</v>
      </c>
      <c r="B106" s="14" t="s">
        <v>18</v>
      </c>
      <c r="C106" s="14">
        <v>2025</v>
      </c>
      <c r="D106" s="14" t="str">
        <f t="array" ref="D106">_xlfn.SWITCH(E106,"Jatikalen","35.18.20","Kertosono", "35.18.08","Lengkong","35.18.19","Loceret","35.18.04","Tanjunganom","35.18.11","Wilangan","35.18.15")</f>
        <v>35.18.19</v>
      </c>
      <c r="E106" s="13" t="s">
        <v>30</v>
      </c>
      <c r="F106" s="25" t="s">
        <v>259</v>
      </c>
      <c r="G106" s="14" t="s">
        <v>261</v>
      </c>
      <c r="H106" s="13" t="s">
        <v>9</v>
      </c>
      <c r="I106" s="14" t="s">
        <v>262</v>
      </c>
      <c r="J106" s="28">
        <v>50</v>
      </c>
      <c r="K106" s="13" t="s">
        <v>45</v>
      </c>
      <c r="L106" s="15">
        <v>225000000</v>
      </c>
      <c r="M106" s="18">
        <v>2003</v>
      </c>
      <c r="N106" s="17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</row>
    <row r="107" spans="1:67" s="3" customFormat="1" x14ac:dyDescent="0.2">
      <c r="A107" s="14" t="s">
        <v>2986</v>
      </c>
      <c r="B107" s="14" t="s">
        <v>18</v>
      </c>
      <c r="C107" s="14">
        <v>2025</v>
      </c>
      <c r="D107" s="14" t="str">
        <f t="array" ref="D107">_xlfn.SWITCH(E107,"Jatikalen","35.18.20","Kertosono", "35.18.08","Lengkong","35.18.19","Loceret","35.18.04","Tanjunganom","35.18.11","Wilangan","35.18.15")</f>
        <v>35.18.08</v>
      </c>
      <c r="E107" s="13" t="s">
        <v>75</v>
      </c>
      <c r="F107" s="14" t="s">
        <v>263</v>
      </c>
      <c r="G107" s="14" t="s">
        <v>264</v>
      </c>
      <c r="H107" s="13" t="s">
        <v>20</v>
      </c>
      <c r="I107" s="14" t="s">
        <v>265</v>
      </c>
      <c r="J107" s="27">
        <v>108</v>
      </c>
      <c r="K107" s="13" t="s">
        <v>45</v>
      </c>
      <c r="L107" s="15">
        <v>183600000</v>
      </c>
      <c r="M107" s="18">
        <v>2003</v>
      </c>
      <c r="N107" s="17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</row>
    <row r="108" spans="1:67" s="3" customFormat="1" x14ac:dyDescent="0.2">
      <c r="A108" s="14" t="s">
        <v>2986</v>
      </c>
      <c r="B108" s="14" t="s">
        <v>18</v>
      </c>
      <c r="C108" s="14">
        <v>2025</v>
      </c>
      <c r="D108" s="14" t="str">
        <f t="array" ref="D108">_xlfn.SWITCH(E108,"Jatikalen","35.18.20","Kertosono", "35.18.08","Lengkong","35.18.19","Loceret","35.18.04","Tanjunganom","35.18.11","Wilangan","35.18.15")</f>
        <v>35.18.08</v>
      </c>
      <c r="E108" s="13" t="s">
        <v>75</v>
      </c>
      <c r="F108" s="14" t="s">
        <v>266</v>
      </c>
      <c r="G108" s="14" t="s">
        <v>267</v>
      </c>
      <c r="H108" s="13" t="s">
        <v>20</v>
      </c>
      <c r="I108" s="14" t="s">
        <v>21</v>
      </c>
      <c r="J108" s="27">
        <v>60</v>
      </c>
      <c r="K108" s="13" t="s">
        <v>37</v>
      </c>
      <c r="L108" s="15">
        <v>35600000</v>
      </c>
      <c r="M108" s="18">
        <v>2003</v>
      </c>
      <c r="N108" s="1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</row>
    <row r="109" spans="1:67" s="3" customFormat="1" x14ac:dyDescent="0.2">
      <c r="A109" s="14" t="s">
        <v>2986</v>
      </c>
      <c r="B109" s="14" t="s">
        <v>18</v>
      </c>
      <c r="C109" s="14">
        <v>2025</v>
      </c>
      <c r="D109" s="14" t="str">
        <f t="array" ref="D109">_xlfn.SWITCH(E109,"Jatikalen","35.18.20","Kertosono", "35.18.08","Lengkong","35.18.19","Loceret","35.18.04","Tanjunganom","35.18.11","Wilangan","35.18.15")</f>
        <v>35.18.08</v>
      </c>
      <c r="E109" s="13" t="s">
        <v>75</v>
      </c>
      <c r="F109" s="14" t="s">
        <v>266</v>
      </c>
      <c r="G109" s="14" t="s">
        <v>268</v>
      </c>
      <c r="H109" s="13" t="s">
        <v>20</v>
      </c>
      <c r="I109" s="14" t="s">
        <v>269</v>
      </c>
      <c r="J109" s="27">
        <v>15000</v>
      </c>
      <c r="K109" s="13" t="s">
        <v>94</v>
      </c>
      <c r="L109" s="15">
        <v>375000000</v>
      </c>
      <c r="M109" s="18">
        <v>2003</v>
      </c>
      <c r="N109" s="17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</row>
    <row r="110" spans="1:67" s="3" customFormat="1" x14ac:dyDescent="0.2">
      <c r="A110" s="14" t="s">
        <v>2986</v>
      </c>
      <c r="B110" s="14" t="s">
        <v>18</v>
      </c>
      <c r="C110" s="14">
        <v>2025</v>
      </c>
      <c r="D110" s="14" t="str">
        <f t="array" ref="D110">_xlfn.SWITCH(E110,"Bagor","35.18.14","Sukomoro",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10" s="13" t="s">
        <v>119</v>
      </c>
      <c r="F110" s="25" t="s">
        <v>177</v>
      </c>
      <c r="G110" s="14" t="s">
        <v>270</v>
      </c>
      <c r="H110" s="13" t="s">
        <v>20</v>
      </c>
      <c r="I110" s="14" t="s">
        <v>21</v>
      </c>
      <c r="J110" s="28">
        <v>15</v>
      </c>
      <c r="K110" s="13" t="s">
        <v>37</v>
      </c>
      <c r="L110" s="15">
        <v>63000000</v>
      </c>
      <c r="M110" s="18">
        <v>2003</v>
      </c>
      <c r="N110" s="17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</row>
    <row r="111" spans="1:67" s="3" customFormat="1" x14ac:dyDescent="0.2">
      <c r="A111" s="14" t="s">
        <v>2986</v>
      </c>
      <c r="B111" s="14" t="s">
        <v>18</v>
      </c>
      <c r="C111" s="14">
        <v>2025</v>
      </c>
      <c r="D111" s="14" t="str">
        <f t="array" ref="D111">_xlfn.SWITCH(E111,"Bagor","35.18.14","Sukomoro",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1" s="13" t="s">
        <v>7</v>
      </c>
      <c r="F111" s="14" t="s">
        <v>157</v>
      </c>
      <c r="G111" s="14" t="s">
        <v>271</v>
      </c>
      <c r="H111" s="13" t="s">
        <v>9</v>
      </c>
      <c r="I111" s="14" t="s">
        <v>10</v>
      </c>
      <c r="J111" s="27">
        <v>8000000</v>
      </c>
      <c r="K111" s="13" t="s">
        <v>11</v>
      </c>
      <c r="L111" s="15">
        <v>2992000000</v>
      </c>
      <c r="M111" s="16">
        <v>39435</v>
      </c>
      <c r="N111" s="17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</row>
    <row r="112" spans="1:67" s="3" customFormat="1" x14ac:dyDescent="0.2">
      <c r="A112" s="14" t="s">
        <v>2986</v>
      </c>
      <c r="B112" s="14" t="s">
        <v>18</v>
      </c>
      <c r="C112" s="14">
        <v>2025</v>
      </c>
      <c r="D112" s="14" t="str">
        <f t="array" ref="D112">_xlfn.SWITCH(E112,"Bagor","35.18.14","Sukomoro",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2" s="13" t="s">
        <v>7</v>
      </c>
      <c r="F112" s="14" t="s">
        <v>12</v>
      </c>
      <c r="G112" s="14" t="s">
        <v>272</v>
      </c>
      <c r="H112" s="13" t="s">
        <v>9</v>
      </c>
      <c r="I112" s="14" t="s">
        <v>10</v>
      </c>
      <c r="J112" s="27">
        <v>89856000</v>
      </c>
      <c r="K112" s="13" t="s">
        <v>11</v>
      </c>
      <c r="L112" s="15">
        <v>14976000000</v>
      </c>
      <c r="M112" s="16">
        <v>39773</v>
      </c>
      <c r="N112" s="17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</row>
    <row r="113" spans="1:67" s="3" customFormat="1" x14ac:dyDescent="0.2">
      <c r="A113" s="14" t="s">
        <v>2986</v>
      </c>
      <c r="B113" s="14" t="s">
        <v>18</v>
      </c>
      <c r="C113" s="14">
        <v>2025</v>
      </c>
      <c r="D113" s="14" t="str">
        <f t="array" ref="D113">_xlfn.SWITCH(E113,"Bagor","35.18.14","Sukomoro",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3" s="13" t="s">
        <v>7</v>
      </c>
      <c r="F113" s="14" t="s">
        <v>136</v>
      </c>
      <c r="G113" s="14" t="s">
        <v>273</v>
      </c>
      <c r="H113" s="13" t="s">
        <v>9</v>
      </c>
      <c r="I113" s="14" t="s">
        <v>10</v>
      </c>
      <c r="J113" s="27">
        <v>2073600</v>
      </c>
      <c r="K113" s="13" t="s">
        <v>11</v>
      </c>
      <c r="L113" s="15">
        <v>775526400</v>
      </c>
      <c r="M113" s="9">
        <v>2003</v>
      </c>
      <c r="N113" s="17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</row>
    <row r="114" spans="1:67" s="3" customFormat="1" x14ac:dyDescent="0.2">
      <c r="A114" s="14" t="s">
        <v>2986</v>
      </c>
      <c r="B114" s="14" t="s">
        <v>18</v>
      </c>
      <c r="C114" s="14">
        <v>2025</v>
      </c>
      <c r="D114" s="14" t="str">
        <f t="array" ref="D114">_xlfn.SWITCH(E114,"Bagor","35.18.14","Sukomoro",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" s="13" t="s">
        <v>7</v>
      </c>
      <c r="F114" s="14" t="s">
        <v>274</v>
      </c>
      <c r="G114" s="14" t="s">
        <v>275</v>
      </c>
      <c r="H114" s="13" t="s">
        <v>9</v>
      </c>
      <c r="I114" s="14" t="s">
        <v>10</v>
      </c>
      <c r="J114" s="27">
        <v>4000000</v>
      </c>
      <c r="K114" s="13" t="s">
        <v>11</v>
      </c>
      <c r="L114" s="15">
        <v>1496000000</v>
      </c>
      <c r="M114" s="9">
        <v>2003</v>
      </c>
      <c r="N114" s="17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</row>
    <row r="115" spans="1:67" s="3" customFormat="1" x14ac:dyDescent="0.2">
      <c r="A115" s="14" t="s">
        <v>2986</v>
      </c>
      <c r="B115" s="14" t="s">
        <v>18</v>
      </c>
      <c r="C115" s="14">
        <v>2025</v>
      </c>
      <c r="D115" s="14" t="str">
        <f t="array" ref="D115">_xlfn.SWITCH(E115,"Jatikalen","35.18.20","Kertosono", "35.18.08","Lengkong","35.18.19","Loceret","35.18.04","Tanjunganom","35.18.11","Wilangan","35.18.15")</f>
        <v>35.18.11</v>
      </c>
      <c r="E115" s="13" t="s">
        <v>27</v>
      </c>
      <c r="F115" s="14" t="s">
        <v>26</v>
      </c>
      <c r="G115" s="14" t="s">
        <v>276</v>
      </c>
      <c r="H115" s="13" t="s">
        <v>9</v>
      </c>
      <c r="I115" s="14" t="s">
        <v>10</v>
      </c>
      <c r="J115" s="27">
        <v>24000000</v>
      </c>
      <c r="K115" s="13" t="s">
        <v>11</v>
      </c>
      <c r="L115" s="15">
        <v>897600000</v>
      </c>
      <c r="M115" s="16"/>
      <c r="N115" s="17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</row>
    <row r="116" spans="1:67" s="3" customFormat="1" x14ac:dyDescent="0.2">
      <c r="A116" s="14" t="s">
        <v>2986</v>
      </c>
      <c r="B116" s="14" t="s">
        <v>18</v>
      </c>
      <c r="C116" s="14">
        <v>2025</v>
      </c>
      <c r="D116" s="14" t="str">
        <f t="array" ref="D116">_xlfn.SWITCH(E116,"Bagor","35.18.14","Sukomoro",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" s="13" t="s">
        <v>7</v>
      </c>
      <c r="F116" s="14" t="s">
        <v>277</v>
      </c>
      <c r="G116" s="14" t="s">
        <v>278</v>
      </c>
      <c r="H116" s="13" t="s">
        <v>9</v>
      </c>
      <c r="I116" s="14" t="s">
        <v>10</v>
      </c>
      <c r="J116" s="27">
        <v>2000000</v>
      </c>
      <c r="K116" s="13" t="s">
        <v>11</v>
      </c>
      <c r="L116" s="15">
        <v>748000000</v>
      </c>
      <c r="M116" s="9">
        <v>2003</v>
      </c>
      <c r="N116" s="17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</row>
    <row r="117" spans="1:67" s="3" customFormat="1" x14ac:dyDescent="0.2">
      <c r="A117" s="14" t="s">
        <v>2986</v>
      </c>
      <c r="B117" s="14" t="s">
        <v>18</v>
      </c>
      <c r="C117" s="14">
        <v>2025</v>
      </c>
      <c r="D117" s="14" t="str">
        <f t="array" ref="D117">_xlfn.SWITCH(E117,"Bagor","35.18.14","Sukomoro",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7" s="13" t="s">
        <v>18</v>
      </c>
      <c r="F117" s="25" t="s">
        <v>17</v>
      </c>
      <c r="G117" s="25" t="s">
        <v>279</v>
      </c>
      <c r="H117" s="13" t="s">
        <v>9</v>
      </c>
      <c r="I117" s="14" t="s">
        <v>10</v>
      </c>
      <c r="J117" s="15">
        <v>6000000</v>
      </c>
      <c r="K117" s="13" t="s">
        <v>11</v>
      </c>
      <c r="L117" s="22">
        <v>1050000000</v>
      </c>
      <c r="M117" s="20" t="s">
        <v>239</v>
      </c>
      <c r="N117" s="17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</row>
    <row r="118" spans="1:67" s="3" customFormat="1" x14ac:dyDescent="0.2">
      <c r="A118" s="14" t="s">
        <v>2986</v>
      </c>
      <c r="B118" s="14" t="s">
        <v>18</v>
      </c>
      <c r="C118" s="14">
        <v>2025</v>
      </c>
      <c r="D118" s="14" t="str">
        <f t="array" ref="D118">_xlfn.SWITCH(E118,"Bagor","35.18.14","Sukomoro",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8" s="13" t="s">
        <v>18</v>
      </c>
      <c r="F118" s="25" t="s">
        <v>280</v>
      </c>
      <c r="G118" s="25" t="s">
        <v>281</v>
      </c>
      <c r="H118" s="13" t="s">
        <v>9</v>
      </c>
      <c r="I118" s="14" t="s">
        <v>10</v>
      </c>
      <c r="J118" s="15">
        <v>2672500</v>
      </c>
      <c r="K118" s="13" t="s">
        <v>11</v>
      </c>
      <c r="L118" s="22">
        <v>999515000</v>
      </c>
      <c r="M118" s="20" t="s">
        <v>282</v>
      </c>
      <c r="N118" s="17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</row>
    <row r="119" spans="1:67" s="3" customFormat="1" x14ac:dyDescent="0.2">
      <c r="A119" s="14" t="s">
        <v>2986</v>
      </c>
      <c r="B119" s="14" t="s">
        <v>18</v>
      </c>
      <c r="C119" s="14">
        <v>2025</v>
      </c>
      <c r="D119" s="14" t="str">
        <f t="array" ref="D119">_xlfn.SWITCH(E119,"Bagor","35.18.14","Sukomoro",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9" s="13" t="s">
        <v>18</v>
      </c>
      <c r="F119" s="29" t="s">
        <v>283</v>
      </c>
      <c r="G119" s="25" t="s">
        <v>284</v>
      </c>
      <c r="H119" s="13" t="s">
        <v>9</v>
      </c>
      <c r="I119" s="14" t="s">
        <v>10</v>
      </c>
      <c r="J119" s="15">
        <v>16000000</v>
      </c>
      <c r="K119" s="13" t="s">
        <v>11</v>
      </c>
      <c r="L119" s="22">
        <v>5984000000</v>
      </c>
      <c r="M119" s="23" t="s">
        <v>285</v>
      </c>
      <c r="N119" s="17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</row>
    <row r="120" spans="1:67" s="3" customFormat="1" x14ac:dyDescent="0.2">
      <c r="A120" s="14" t="s">
        <v>2986</v>
      </c>
      <c r="B120" s="14" t="s">
        <v>18</v>
      </c>
      <c r="C120" s="14">
        <v>2025</v>
      </c>
      <c r="D120" s="14" t="str">
        <f t="array" ref="D120">_xlfn.SWITCH(E120,"Bagor","35.18.14","Sukomoro",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" s="13" t="s">
        <v>18</v>
      </c>
      <c r="F120" s="25" t="s">
        <v>286</v>
      </c>
      <c r="G120" s="25" t="s">
        <v>287</v>
      </c>
      <c r="H120" s="13" t="s">
        <v>9</v>
      </c>
      <c r="I120" s="14" t="s">
        <v>10</v>
      </c>
      <c r="J120" s="15">
        <v>15663852</v>
      </c>
      <c r="K120" s="13" t="s">
        <v>11</v>
      </c>
      <c r="L120" s="22">
        <v>2657083000</v>
      </c>
      <c r="M120" s="16">
        <v>39539</v>
      </c>
      <c r="N120" s="17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</row>
    <row r="121" spans="1:67" s="3" customFormat="1" x14ac:dyDescent="0.2">
      <c r="A121" s="14" t="s">
        <v>2986</v>
      </c>
      <c r="B121" s="14" t="s">
        <v>18</v>
      </c>
      <c r="C121" s="14">
        <v>2025</v>
      </c>
      <c r="D121" s="14" t="str">
        <f t="array" ref="D121">_xlfn.SWITCH(E121,"Bagor","35.18.14","Sukomoro",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" s="13" t="s">
        <v>18</v>
      </c>
      <c r="F121" s="25" t="s">
        <v>288</v>
      </c>
      <c r="G121" s="14" t="s">
        <v>289</v>
      </c>
      <c r="H121" s="13" t="s">
        <v>9</v>
      </c>
      <c r="I121" s="14" t="s">
        <v>290</v>
      </c>
      <c r="J121" s="15">
        <v>1500</v>
      </c>
      <c r="K121" s="13" t="s">
        <v>217</v>
      </c>
      <c r="L121" s="15">
        <v>158000000</v>
      </c>
      <c r="M121" s="16">
        <v>39534</v>
      </c>
      <c r="N121" s="17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</row>
    <row r="122" spans="1:67" s="3" customFormat="1" x14ac:dyDescent="0.2">
      <c r="A122" s="14" t="s">
        <v>2986</v>
      </c>
      <c r="B122" s="14" t="s">
        <v>18</v>
      </c>
      <c r="C122" s="14">
        <v>2025</v>
      </c>
      <c r="D122" s="14" t="str">
        <f t="array" ref="D122">_xlfn.SWITCH(E122,"Bagor","35.18.14","Sukomoro",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" s="13" t="s">
        <v>18</v>
      </c>
      <c r="F122" s="25" t="s">
        <v>204</v>
      </c>
      <c r="G122" s="14" t="s">
        <v>291</v>
      </c>
      <c r="H122" s="13" t="s">
        <v>9</v>
      </c>
      <c r="I122" s="14" t="s">
        <v>21</v>
      </c>
      <c r="J122" s="15">
        <v>80</v>
      </c>
      <c r="K122" s="13" t="s">
        <v>135</v>
      </c>
      <c r="L122" s="15">
        <v>49816000</v>
      </c>
      <c r="M122" s="18">
        <v>2002</v>
      </c>
      <c r="N122" s="17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</row>
    <row r="123" spans="1:67" s="3" customFormat="1" x14ac:dyDescent="0.2">
      <c r="A123" s="14" t="s">
        <v>2986</v>
      </c>
      <c r="B123" s="14" t="s">
        <v>18</v>
      </c>
      <c r="C123" s="14">
        <v>2025</v>
      </c>
      <c r="D123" s="14" t="str">
        <f t="array" ref="D123">_xlfn.SWITCH(E123,"Bagor","35.18.14","Sukomoro",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" s="13" t="s">
        <v>18</v>
      </c>
      <c r="F123" s="14" t="s">
        <v>292</v>
      </c>
      <c r="G123" s="14" t="s">
        <v>293</v>
      </c>
      <c r="H123" s="13" t="s">
        <v>294</v>
      </c>
      <c r="I123" s="14" t="s">
        <v>295</v>
      </c>
      <c r="J123" s="15">
        <v>2450000</v>
      </c>
      <c r="K123" s="13" t="s">
        <v>296</v>
      </c>
      <c r="L123" s="15">
        <v>135000000</v>
      </c>
      <c r="M123" s="18">
        <v>2002</v>
      </c>
      <c r="N123" s="17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</row>
    <row r="124" spans="1:67" s="3" customFormat="1" x14ac:dyDescent="0.2">
      <c r="A124" s="14" t="s">
        <v>2986</v>
      </c>
      <c r="B124" s="14" t="s">
        <v>18</v>
      </c>
      <c r="C124" s="14">
        <v>2025</v>
      </c>
      <c r="D124" s="14" t="str">
        <f t="array" ref="D124">_xlfn.SWITCH(E124,"Bagor","35.18.14","Sukomoro",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24" s="13" t="s">
        <v>50</v>
      </c>
      <c r="F124" s="25" t="s">
        <v>297</v>
      </c>
      <c r="G124" s="25" t="s">
        <v>298</v>
      </c>
      <c r="H124" s="13" t="s">
        <v>20</v>
      </c>
      <c r="I124" s="14" t="s">
        <v>166</v>
      </c>
      <c r="J124" s="31">
        <v>120000</v>
      </c>
      <c r="K124" s="13" t="s">
        <v>167</v>
      </c>
      <c r="L124" s="22">
        <v>3575000000</v>
      </c>
      <c r="M124" s="18">
        <v>2002</v>
      </c>
      <c r="N124" s="17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</row>
    <row r="125" spans="1:67" s="3" customFormat="1" x14ac:dyDescent="0.2">
      <c r="A125" s="14" t="s">
        <v>2986</v>
      </c>
      <c r="B125" s="14" t="s">
        <v>18</v>
      </c>
      <c r="C125" s="14">
        <v>2025</v>
      </c>
      <c r="D125" s="14" t="str">
        <f t="array" ref="D125">_xlfn.SWITCH(E125,"Bagor","35.18.14","Sukomoro",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" s="13" t="s">
        <v>18</v>
      </c>
      <c r="F125" s="29" t="s">
        <v>299</v>
      </c>
      <c r="G125" s="14" t="s">
        <v>300</v>
      </c>
      <c r="H125" s="13" t="s">
        <v>9</v>
      </c>
      <c r="I125" s="14" t="s">
        <v>301</v>
      </c>
      <c r="J125" s="15">
        <v>78000000</v>
      </c>
      <c r="K125" s="13" t="s">
        <v>302</v>
      </c>
      <c r="L125" s="15">
        <v>29172000000</v>
      </c>
      <c r="M125" s="16">
        <v>38960</v>
      </c>
      <c r="N125" s="17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</row>
    <row r="126" spans="1:67" s="3" customFormat="1" x14ac:dyDescent="0.2">
      <c r="A126" s="14" t="s">
        <v>2986</v>
      </c>
      <c r="B126" s="14" t="s">
        <v>18</v>
      </c>
      <c r="C126" s="14">
        <v>2025</v>
      </c>
      <c r="D126" s="14" t="str">
        <f t="array" ref="D126">_xlfn.SWITCH(E126,"Bagor","35.18.14","Sukomoro",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" s="13" t="s">
        <v>18</v>
      </c>
      <c r="F126" s="14" t="s">
        <v>303</v>
      </c>
      <c r="G126" s="14" t="s">
        <v>304</v>
      </c>
      <c r="H126" s="13" t="s">
        <v>9</v>
      </c>
      <c r="I126" s="14" t="s">
        <v>10</v>
      </c>
      <c r="J126" s="15">
        <v>7726000</v>
      </c>
      <c r="K126" s="13" t="s">
        <v>11</v>
      </c>
      <c r="L126" s="15">
        <v>1390680000</v>
      </c>
      <c r="M126" s="16">
        <v>39157</v>
      </c>
      <c r="N126" s="17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</row>
    <row r="127" spans="1:67" s="3" customFormat="1" x14ac:dyDescent="0.2">
      <c r="A127" s="14" t="s">
        <v>2986</v>
      </c>
      <c r="B127" s="14" t="s">
        <v>18</v>
      </c>
      <c r="C127" s="14">
        <v>2025</v>
      </c>
      <c r="D127" s="14" t="str">
        <f t="array" ref="D127">_xlfn.SWITCH(E127,"Bagor","35.18.14","Sukomoro",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" s="13" t="s">
        <v>18</v>
      </c>
      <c r="F127" s="25" t="s">
        <v>131</v>
      </c>
      <c r="G127" s="14" t="s">
        <v>305</v>
      </c>
      <c r="H127" s="13" t="s">
        <v>9</v>
      </c>
      <c r="I127" s="14" t="s">
        <v>306</v>
      </c>
      <c r="J127" s="15" t="s">
        <v>307</v>
      </c>
      <c r="K127" s="13" t="s">
        <v>45</v>
      </c>
      <c r="L127" s="15">
        <v>112500000</v>
      </c>
      <c r="M127" s="18">
        <v>2002</v>
      </c>
      <c r="N127" s="17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</row>
    <row r="128" spans="1:67" s="3" customFormat="1" x14ac:dyDescent="0.2">
      <c r="A128" s="14" t="s">
        <v>2986</v>
      </c>
      <c r="B128" s="14" t="s">
        <v>18</v>
      </c>
      <c r="C128" s="14">
        <v>2025</v>
      </c>
      <c r="D128" s="14" t="str">
        <f t="array" ref="D128">_xlfn.SWITCH(E128,"Bagor","35.18.14","Sukomoro",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" s="13" t="s">
        <v>18</v>
      </c>
      <c r="F128" s="29" t="s">
        <v>308</v>
      </c>
      <c r="G128" s="14" t="s">
        <v>309</v>
      </c>
      <c r="H128" s="13" t="s">
        <v>9</v>
      </c>
      <c r="I128" s="14" t="s">
        <v>310</v>
      </c>
      <c r="J128" s="15">
        <v>12000000</v>
      </c>
      <c r="K128" s="13" t="s">
        <v>302</v>
      </c>
      <c r="L128" s="15">
        <v>4488000000</v>
      </c>
      <c r="M128" s="18">
        <v>2002</v>
      </c>
      <c r="N128" s="17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</row>
    <row r="129" spans="1:67" s="3" customFormat="1" x14ac:dyDescent="0.2">
      <c r="A129" s="14" t="s">
        <v>2986</v>
      </c>
      <c r="B129" s="14" t="s">
        <v>18</v>
      </c>
      <c r="C129" s="14">
        <v>2025</v>
      </c>
      <c r="D129" s="14" t="str">
        <f t="array" ref="D129">_xlfn.SWITCH(E129,"Bagor","35.18.14","Sukomoro",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" s="13" t="s">
        <v>18</v>
      </c>
      <c r="F129" s="14" t="s">
        <v>311</v>
      </c>
      <c r="G129" s="14" t="s">
        <v>312</v>
      </c>
      <c r="H129" s="13" t="s">
        <v>9</v>
      </c>
      <c r="I129" s="14" t="s">
        <v>313</v>
      </c>
      <c r="J129" s="15">
        <v>1750</v>
      </c>
      <c r="K129" s="13" t="s">
        <v>314</v>
      </c>
      <c r="L129" s="15">
        <v>42000000</v>
      </c>
      <c r="M129" s="18">
        <v>2002</v>
      </c>
      <c r="N129" s="17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</row>
    <row r="130" spans="1:67" s="3" customFormat="1" x14ac:dyDescent="0.2">
      <c r="A130" s="14" t="s">
        <v>2986</v>
      </c>
      <c r="B130" s="14" t="s">
        <v>18</v>
      </c>
      <c r="C130" s="14">
        <v>2025</v>
      </c>
      <c r="D130" s="14" t="str">
        <f t="array" ref="D130">_xlfn.SWITCH(E130,"Bagor","35.18.14","Sukomoro",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" s="13" t="s">
        <v>18</v>
      </c>
      <c r="F130" s="25" t="s">
        <v>315</v>
      </c>
      <c r="G130" s="14" t="s">
        <v>316</v>
      </c>
      <c r="H130" s="13" t="s">
        <v>9</v>
      </c>
      <c r="I130" s="14" t="s">
        <v>166</v>
      </c>
      <c r="J130" s="15">
        <v>8500</v>
      </c>
      <c r="K130" s="13" t="s">
        <v>167</v>
      </c>
      <c r="L130" s="15">
        <v>250000000</v>
      </c>
      <c r="M130" s="18">
        <v>2002</v>
      </c>
      <c r="N130" s="17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</row>
    <row r="131" spans="1:67" s="3" customFormat="1" x14ac:dyDescent="0.2">
      <c r="A131" s="14" t="s">
        <v>2986</v>
      </c>
      <c r="B131" s="14" t="s">
        <v>18</v>
      </c>
      <c r="C131" s="14">
        <v>2025</v>
      </c>
      <c r="D131" s="14" t="str">
        <f t="array" ref="D131">_xlfn.SWITCH(E131,"Bagor","35.18.14","Sukomoro",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" s="13" t="s">
        <v>18</v>
      </c>
      <c r="F131" s="14" t="s">
        <v>317</v>
      </c>
      <c r="G131" s="14" t="s">
        <v>318</v>
      </c>
      <c r="H131" s="13" t="s">
        <v>9</v>
      </c>
      <c r="I131" s="14" t="s">
        <v>295</v>
      </c>
      <c r="J131" s="15">
        <v>2800</v>
      </c>
      <c r="K131" s="13" t="s">
        <v>319</v>
      </c>
      <c r="L131" s="15">
        <v>740000000</v>
      </c>
      <c r="M131" s="16">
        <v>39736</v>
      </c>
      <c r="N131" s="17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</row>
    <row r="132" spans="1:67" s="3" customFormat="1" x14ac:dyDescent="0.2">
      <c r="A132" s="14" t="s">
        <v>2986</v>
      </c>
      <c r="B132" s="14" t="s">
        <v>18</v>
      </c>
      <c r="C132" s="14">
        <v>2025</v>
      </c>
      <c r="D132" s="14" t="str">
        <f t="array" ref="D132">_xlfn.SWITCH(E132,"Bagor","35.18.14","Sukomoro",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" s="13" t="s">
        <v>18</v>
      </c>
      <c r="F132" s="14" t="s">
        <v>320</v>
      </c>
      <c r="G132" s="14" t="s">
        <v>321</v>
      </c>
      <c r="H132" s="13" t="s">
        <v>9</v>
      </c>
      <c r="I132" s="14" t="s">
        <v>21</v>
      </c>
      <c r="J132" s="15">
        <v>90</v>
      </c>
      <c r="K132" s="13" t="s">
        <v>135</v>
      </c>
      <c r="L132" s="15">
        <v>45500000</v>
      </c>
      <c r="M132" s="18">
        <v>2002</v>
      </c>
      <c r="N132" s="17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</row>
    <row r="133" spans="1:67" s="3" customFormat="1" x14ac:dyDescent="0.2">
      <c r="A133" s="14" t="s">
        <v>2986</v>
      </c>
      <c r="B133" s="14" t="s">
        <v>18</v>
      </c>
      <c r="C133" s="14">
        <v>2025</v>
      </c>
      <c r="D133" s="14" t="str">
        <f t="array" ref="D133">_xlfn.SWITCH(E133,"Bagor","35.18.14","Sukomoro",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" s="13" t="s">
        <v>18</v>
      </c>
      <c r="F133" s="14" t="s">
        <v>322</v>
      </c>
      <c r="G133" s="14" t="s">
        <v>323</v>
      </c>
      <c r="H133" s="13" t="s">
        <v>9</v>
      </c>
      <c r="I133" s="14" t="s">
        <v>313</v>
      </c>
      <c r="J133" s="15">
        <v>385000</v>
      </c>
      <c r="K133" s="13" t="s">
        <v>94</v>
      </c>
      <c r="L133" s="15">
        <v>57750000</v>
      </c>
      <c r="M133" s="18">
        <v>2002</v>
      </c>
      <c r="N133" s="17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</row>
    <row r="134" spans="1:67" s="3" customFormat="1" ht="20" x14ac:dyDescent="0.2">
      <c r="A134" s="14" t="s">
        <v>2986</v>
      </c>
      <c r="B134" s="14" t="s">
        <v>18</v>
      </c>
      <c r="C134" s="14">
        <v>2025</v>
      </c>
      <c r="D134" s="14" t="str">
        <f t="array" ref="D134">_xlfn.SWITCH(E134,"Bagor","35.18.14","Sukomoro",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4" s="13" t="s">
        <v>18</v>
      </c>
      <c r="F134" s="25" t="s">
        <v>204</v>
      </c>
      <c r="G134" s="14" t="s">
        <v>324</v>
      </c>
      <c r="H134" s="13" t="s">
        <v>20</v>
      </c>
      <c r="I134" s="14" t="s">
        <v>21</v>
      </c>
      <c r="J134" s="15" t="s">
        <v>325</v>
      </c>
      <c r="K134" s="13" t="s">
        <v>326</v>
      </c>
      <c r="L134" s="22">
        <v>89464000</v>
      </c>
      <c r="M134" s="26">
        <v>39133</v>
      </c>
      <c r="N134" s="17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</row>
    <row r="135" spans="1:67" s="3" customFormat="1" x14ac:dyDescent="0.2">
      <c r="A135" s="14" t="s">
        <v>2986</v>
      </c>
      <c r="B135" s="14" t="s">
        <v>18</v>
      </c>
      <c r="C135" s="14">
        <v>2025</v>
      </c>
      <c r="D135" s="14" t="str">
        <f t="array" ref="D135">_xlfn.SWITCH(E135,"Bagor","35.18.14","Sukomoro",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" s="13" t="s">
        <v>18</v>
      </c>
      <c r="F135" s="25" t="s">
        <v>46</v>
      </c>
      <c r="G135" s="14" t="s">
        <v>327</v>
      </c>
      <c r="H135" s="13" t="s">
        <v>20</v>
      </c>
      <c r="I135" s="14" t="s">
        <v>21</v>
      </c>
      <c r="J135" s="15">
        <v>70</v>
      </c>
      <c r="K135" s="13" t="s">
        <v>135</v>
      </c>
      <c r="L135" s="15">
        <v>35560000</v>
      </c>
      <c r="M135" s="18">
        <v>2002</v>
      </c>
      <c r="N135" s="17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</row>
    <row r="136" spans="1:67" s="3" customFormat="1" x14ac:dyDescent="0.2">
      <c r="A136" s="14" t="s">
        <v>2986</v>
      </c>
      <c r="B136" s="14" t="s">
        <v>18</v>
      </c>
      <c r="C136" s="14">
        <v>2025</v>
      </c>
      <c r="D136" s="14" t="str">
        <f t="array" ref="D136">_xlfn.SWITCH(E136,"Bagor","35.18.14","Sukomoro",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6" s="13" t="s">
        <v>18</v>
      </c>
      <c r="F136" s="14" t="s">
        <v>328</v>
      </c>
      <c r="G136" s="14" t="s">
        <v>201</v>
      </c>
      <c r="H136" s="13" t="s">
        <v>20</v>
      </c>
      <c r="I136" s="14" t="s">
        <v>329</v>
      </c>
      <c r="J136" s="15">
        <v>1100</v>
      </c>
      <c r="K136" s="13" t="s">
        <v>217</v>
      </c>
      <c r="L136" s="15">
        <v>132000000</v>
      </c>
      <c r="M136" s="18">
        <v>2002</v>
      </c>
      <c r="N136" s="17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</row>
    <row r="137" spans="1:67" s="3" customFormat="1" x14ac:dyDescent="0.2">
      <c r="A137" s="14" t="s">
        <v>2986</v>
      </c>
      <c r="B137" s="14" t="s">
        <v>18</v>
      </c>
      <c r="C137" s="14">
        <v>2025</v>
      </c>
      <c r="D137" s="14" t="str">
        <f t="array" ref="D137">_xlfn.SWITCH(E137,"Bagor","35.18.14","Sukomoro",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" s="13" t="s">
        <v>18</v>
      </c>
      <c r="F137" s="14" t="s">
        <v>330</v>
      </c>
      <c r="G137" s="14" t="s">
        <v>331</v>
      </c>
      <c r="H137" s="13" t="s">
        <v>20</v>
      </c>
      <c r="I137" s="14" t="s">
        <v>21</v>
      </c>
      <c r="J137" s="15" t="s">
        <v>332</v>
      </c>
      <c r="K137" s="13" t="s">
        <v>333</v>
      </c>
      <c r="L137" s="15">
        <v>41945000</v>
      </c>
      <c r="M137" s="18">
        <v>2002</v>
      </c>
      <c r="N137" s="17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</row>
    <row r="138" spans="1:67" s="3" customFormat="1" x14ac:dyDescent="0.2">
      <c r="A138" s="14" t="s">
        <v>2986</v>
      </c>
      <c r="B138" s="14" t="s">
        <v>18</v>
      </c>
      <c r="C138" s="14">
        <v>2025</v>
      </c>
      <c r="D138" s="14" t="str">
        <f t="array" ref="D138">_xlfn.SWITCH(E138,"Bagor","35.18.14","Sukomoro",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" s="13" t="s">
        <v>18</v>
      </c>
      <c r="F138" s="25" t="s">
        <v>334</v>
      </c>
      <c r="G138" s="14" t="s">
        <v>335</v>
      </c>
      <c r="H138" s="13" t="s">
        <v>20</v>
      </c>
      <c r="I138" s="14" t="s">
        <v>21</v>
      </c>
      <c r="J138" s="15">
        <v>90</v>
      </c>
      <c r="K138" s="13" t="s">
        <v>135</v>
      </c>
      <c r="L138" s="15">
        <v>45680000</v>
      </c>
      <c r="M138" s="18">
        <v>2002</v>
      </c>
      <c r="N138" s="17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</row>
    <row r="139" spans="1:67" s="3" customFormat="1" x14ac:dyDescent="0.2">
      <c r="A139" s="14" t="s">
        <v>2986</v>
      </c>
      <c r="B139" s="14" t="s">
        <v>18</v>
      </c>
      <c r="C139" s="14">
        <v>2025</v>
      </c>
      <c r="D139" s="14" t="str">
        <f t="array" ref="D139">_xlfn.SWITCH(E139,"Bagor","35.18.14","Sukomoro",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" s="13" t="s">
        <v>18</v>
      </c>
      <c r="F139" s="14" t="s">
        <v>336</v>
      </c>
      <c r="G139" s="14" t="s">
        <v>337</v>
      </c>
      <c r="H139" s="13" t="s">
        <v>20</v>
      </c>
      <c r="I139" s="14" t="s">
        <v>21</v>
      </c>
      <c r="J139" s="15" t="s">
        <v>338</v>
      </c>
      <c r="K139" s="13" t="s">
        <v>339</v>
      </c>
      <c r="L139" s="15">
        <v>44130000</v>
      </c>
      <c r="M139" s="18">
        <v>2002</v>
      </c>
      <c r="N139" s="17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</row>
    <row r="140" spans="1:67" s="3" customFormat="1" x14ac:dyDescent="0.2">
      <c r="A140" s="14" t="s">
        <v>2986</v>
      </c>
      <c r="B140" s="14" t="s">
        <v>18</v>
      </c>
      <c r="C140" s="14">
        <v>2025</v>
      </c>
      <c r="D140" s="14" t="str">
        <f t="array" ref="D140">_xlfn.SWITCH(E140,"Bagor","35.18.14","Sukomoro",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" s="13" t="s">
        <v>18</v>
      </c>
      <c r="F140" s="14" t="s">
        <v>340</v>
      </c>
      <c r="G140" s="14" t="s">
        <v>341</v>
      </c>
      <c r="H140" s="13" t="s">
        <v>20</v>
      </c>
      <c r="I140" s="14" t="s">
        <v>342</v>
      </c>
      <c r="J140" s="15" t="s">
        <v>343</v>
      </c>
      <c r="K140" s="13" t="s">
        <v>344</v>
      </c>
      <c r="L140" s="15">
        <v>687500000</v>
      </c>
      <c r="M140" s="16">
        <v>39542</v>
      </c>
      <c r="N140" s="17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</row>
    <row r="141" spans="1:67" s="3" customFormat="1" x14ac:dyDescent="0.2">
      <c r="A141" s="14" t="s">
        <v>2986</v>
      </c>
      <c r="B141" s="14" t="s">
        <v>18</v>
      </c>
      <c r="C141" s="14">
        <v>2025</v>
      </c>
      <c r="D141" s="14" t="str">
        <f t="array" ref="D141">_xlfn.SWITCH(E141,"Bagor","35.18.14","Sukomoro",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" s="13" t="s">
        <v>18</v>
      </c>
      <c r="F141" s="14" t="s">
        <v>345</v>
      </c>
      <c r="G141" s="14" t="s">
        <v>346</v>
      </c>
      <c r="H141" s="13" t="s">
        <v>20</v>
      </c>
      <c r="I141" s="14" t="s">
        <v>36</v>
      </c>
      <c r="J141" s="15" t="s">
        <v>347</v>
      </c>
      <c r="K141" s="13" t="s">
        <v>348</v>
      </c>
      <c r="L141" s="15">
        <v>204850000</v>
      </c>
      <c r="M141" s="18">
        <v>2002</v>
      </c>
      <c r="N141" s="17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</row>
    <row r="142" spans="1:67" s="3" customFormat="1" x14ac:dyDescent="0.2">
      <c r="A142" s="14" t="s">
        <v>2986</v>
      </c>
      <c r="B142" s="14" t="s">
        <v>18</v>
      </c>
      <c r="C142" s="14">
        <v>2025</v>
      </c>
      <c r="D142" s="14" t="str">
        <f t="array" ref="D142">_xlfn.SWITCH(E142,"Bagor","35.18.14","Sukomoro",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" s="13" t="s">
        <v>18</v>
      </c>
      <c r="F142" s="25" t="s">
        <v>17</v>
      </c>
      <c r="G142" s="14" t="s">
        <v>349</v>
      </c>
      <c r="H142" s="13" t="s">
        <v>20</v>
      </c>
      <c r="I142" s="14" t="s">
        <v>350</v>
      </c>
      <c r="J142" s="15">
        <v>55</v>
      </c>
      <c r="K142" s="13" t="s">
        <v>45</v>
      </c>
      <c r="L142" s="15">
        <v>125000000</v>
      </c>
      <c r="M142" s="18">
        <v>2002</v>
      </c>
      <c r="N142" s="17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</row>
    <row r="143" spans="1:67" s="3" customFormat="1" x14ac:dyDescent="0.2">
      <c r="A143" s="14" t="s">
        <v>2986</v>
      </c>
      <c r="B143" s="14" t="s">
        <v>18</v>
      </c>
      <c r="C143" s="14">
        <v>2025</v>
      </c>
      <c r="D143" s="14" t="str">
        <f t="array" ref="D143">_xlfn.SWITCH(E143,"Bagor","35.18.14","Sukomoro",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" s="13" t="s">
        <v>18</v>
      </c>
      <c r="F143" s="14" t="s">
        <v>351</v>
      </c>
      <c r="G143" s="14" t="s">
        <v>352</v>
      </c>
      <c r="H143" s="13" t="s">
        <v>20</v>
      </c>
      <c r="I143" s="14" t="s">
        <v>295</v>
      </c>
      <c r="J143" s="15">
        <v>700</v>
      </c>
      <c r="K143" s="13" t="s">
        <v>319</v>
      </c>
      <c r="L143" s="15">
        <v>122500000</v>
      </c>
      <c r="M143" s="18">
        <v>2002</v>
      </c>
      <c r="N143" s="17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</row>
    <row r="144" spans="1:67" s="3" customFormat="1" x14ac:dyDescent="0.2">
      <c r="A144" s="14" t="s">
        <v>2986</v>
      </c>
      <c r="B144" s="14" t="s">
        <v>18</v>
      </c>
      <c r="C144" s="14">
        <v>2025</v>
      </c>
      <c r="D144" s="14" t="str">
        <f t="array" ref="D144">_xlfn.SWITCH(E144,"Bagor","35.18.14","Sukomoro",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4" s="13" t="s">
        <v>18</v>
      </c>
      <c r="F144" s="25" t="s">
        <v>334</v>
      </c>
      <c r="G144" s="14" t="s">
        <v>331</v>
      </c>
      <c r="H144" s="13" t="s">
        <v>20</v>
      </c>
      <c r="I144" s="14" t="s">
        <v>295</v>
      </c>
      <c r="J144" s="15">
        <v>350</v>
      </c>
      <c r="K144" s="13" t="s">
        <v>319</v>
      </c>
      <c r="L144" s="15">
        <v>58800000</v>
      </c>
      <c r="M144" s="18">
        <v>2002</v>
      </c>
      <c r="N144" s="17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</row>
    <row r="145" spans="1:67" s="3" customFormat="1" x14ac:dyDescent="0.2">
      <c r="A145" s="14" t="s">
        <v>2986</v>
      </c>
      <c r="B145" s="14" t="s">
        <v>18</v>
      </c>
      <c r="C145" s="14">
        <v>2025</v>
      </c>
      <c r="D145" s="14" t="str">
        <f t="array" ref="D145">_xlfn.SWITCH(E145,"Bagor","35.18.14","Sukomoro",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5" s="13" t="s">
        <v>18</v>
      </c>
      <c r="F145" s="29" t="s">
        <v>353</v>
      </c>
      <c r="G145" s="14" t="s">
        <v>354</v>
      </c>
      <c r="H145" s="13" t="s">
        <v>20</v>
      </c>
      <c r="I145" s="14" t="s">
        <v>295</v>
      </c>
      <c r="J145" s="15">
        <v>1200</v>
      </c>
      <c r="K145" s="13" t="s">
        <v>319</v>
      </c>
      <c r="L145" s="15">
        <v>195600000</v>
      </c>
      <c r="M145" s="16">
        <v>39653</v>
      </c>
      <c r="N145" s="17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</row>
    <row r="146" spans="1:67" s="3" customFormat="1" x14ac:dyDescent="0.2">
      <c r="A146" s="14" t="s">
        <v>2986</v>
      </c>
      <c r="B146" s="14" t="s">
        <v>18</v>
      </c>
      <c r="C146" s="14">
        <v>2025</v>
      </c>
      <c r="D146" s="14" t="str">
        <f t="array" ref="D146">_xlfn.SWITCH(E146,"Bagor","35.18.14","Sukomoro",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6" s="13" t="s">
        <v>18</v>
      </c>
      <c r="F146" s="25" t="s">
        <v>355</v>
      </c>
      <c r="G146" s="14" t="s">
        <v>356</v>
      </c>
      <c r="H146" s="13" t="s">
        <v>9</v>
      </c>
      <c r="I146" s="14" t="s">
        <v>21</v>
      </c>
      <c r="J146" s="15">
        <v>260</v>
      </c>
      <c r="K146" s="13" t="s">
        <v>22</v>
      </c>
      <c r="L146" s="15">
        <v>4200000</v>
      </c>
      <c r="M146" s="18">
        <v>2002</v>
      </c>
      <c r="N146" s="17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</row>
    <row r="147" spans="1:67" s="3" customFormat="1" x14ac:dyDescent="0.2">
      <c r="A147" s="14" t="s">
        <v>2986</v>
      </c>
      <c r="B147" s="14" t="s">
        <v>18</v>
      </c>
      <c r="C147" s="14">
        <v>2025</v>
      </c>
      <c r="D147" s="14" t="str">
        <f t="array" ref="D147">_xlfn.SWITCH(E147,"Jatikalen","35.18.20","Kertosono", "35.18.08","Lengkong","35.18.19","Loceret","35.18.04","Tanjunganom","35.18.11","Wilangan","35.18.15")</f>
        <v>35.18.04</v>
      </c>
      <c r="E147" s="13" t="s">
        <v>15</v>
      </c>
      <c r="F147" s="25" t="s">
        <v>233</v>
      </c>
      <c r="G147" s="14" t="s">
        <v>357</v>
      </c>
      <c r="H147" s="13" t="s">
        <v>9</v>
      </c>
      <c r="I147" s="14" t="s">
        <v>21</v>
      </c>
      <c r="J147" s="15">
        <v>180</v>
      </c>
      <c r="K147" s="13" t="s">
        <v>22</v>
      </c>
      <c r="L147" s="15">
        <v>2400000</v>
      </c>
      <c r="M147" s="18">
        <v>2002</v>
      </c>
      <c r="N147" s="17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</row>
    <row r="148" spans="1:67" s="3" customFormat="1" x14ac:dyDescent="0.2">
      <c r="A148" s="14" t="s">
        <v>2986</v>
      </c>
      <c r="B148" s="14" t="s">
        <v>18</v>
      </c>
      <c r="C148" s="14">
        <v>2025</v>
      </c>
      <c r="D148" s="14" t="str">
        <f t="array" ref="D148">_xlfn.SWITCH(E148,"Bagor","35.18.14","Sukomoro",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8" s="13" t="s">
        <v>18</v>
      </c>
      <c r="F148" s="14" t="s">
        <v>358</v>
      </c>
      <c r="G148" s="14" t="s">
        <v>359</v>
      </c>
      <c r="H148" s="13" t="s">
        <v>9</v>
      </c>
      <c r="I148" s="14" t="s">
        <v>360</v>
      </c>
      <c r="J148" s="15">
        <v>3563</v>
      </c>
      <c r="K148" s="13" t="s">
        <v>361</v>
      </c>
      <c r="L148" s="15">
        <v>71260000</v>
      </c>
      <c r="M148" s="18">
        <v>2002</v>
      </c>
      <c r="N148" s="17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</row>
    <row r="149" spans="1:67" s="3" customFormat="1" x14ac:dyDescent="0.2">
      <c r="A149" s="14" t="s">
        <v>2986</v>
      </c>
      <c r="B149" s="14" t="s">
        <v>18</v>
      </c>
      <c r="C149" s="14">
        <v>2025</v>
      </c>
      <c r="D149" s="14" t="str">
        <f t="array" ref="D149">_xlfn.SWITCH(E149,"Bagor","35.18.14","Sukomoro",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9" s="13" t="s">
        <v>18</v>
      </c>
      <c r="F149" s="14" t="s">
        <v>362</v>
      </c>
      <c r="G149" s="14" t="s">
        <v>363</v>
      </c>
      <c r="H149" s="13" t="s">
        <v>9</v>
      </c>
      <c r="I149" s="14" t="s">
        <v>360</v>
      </c>
      <c r="J149" s="15">
        <v>1069</v>
      </c>
      <c r="K149" s="13" t="s">
        <v>361</v>
      </c>
      <c r="L149" s="15">
        <v>21380000</v>
      </c>
      <c r="M149" s="18">
        <v>2002</v>
      </c>
      <c r="N149" s="17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</row>
    <row r="150" spans="1:67" s="3" customFormat="1" x14ac:dyDescent="0.2">
      <c r="A150" s="14" t="s">
        <v>2986</v>
      </c>
      <c r="B150" s="14" t="s">
        <v>18</v>
      </c>
      <c r="C150" s="14">
        <v>2025</v>
      </c>
      <c r="D150" s="14" t="str">
        <f t="array" ref="D150">_xlfn.SWITCH(E150,"Bagor","35.18.14","Sukomoro",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0" s="13" t="s">
        <v>18</v>
      </c>
      <c r="F150" s="14" t="s">
        <v>364</v>
      </c>
      <c r="G150" s="14" t="s">
        <v>365</v>
      </c>
      <c r="H150" s="13" t="s">
        <v>9</v>
      </c>
      <c r="I150" s="14" t="s">
        <v>360</v>
      </c>
      <c r="J150" s="15">
        <v>1425</v>
      </c>
      <c r="K150" s="13" t="s">
        <v>361</v>
      </c>
      <c r="L150" s="15">
        <v>28500000</v>
      </c>
      <c r="M150" s="18">
        <v>2002</v>
      </c>
      <c r="N150" s="17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</row>
    <row r="151" spans="1:67" s="3" customFormat="1" x14ac:dyDescent="0.2">
      <c r="A151" s="14" t="s">
        <v>2986</v>
      </c>
      <c r="B151" s="14" t="s">
        <v>18</v>
      </c>
      <c r="C151" s="14">
        <v>2025</v>
      </c>
      <c r="D151" s="14" t="str">
        <f t="array" ref="D151">_xlfn.SWITCH(E151,"Bagor","35.18.14","Sukomoro",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1" s="13" t="s">
        <v>18</v>
      </c>
      <c r="F151" s="14" t="s">
        <v>366</v>
      </c>
      <c r="G151" s="14" t="s">
        <v>367</v>
      </c>
      <c r="H151" s="13" t="s">
        <v>9</v>
      </c>
      <c r="I151" s="14" t="s">
        <v>360</v>
      </c>
      <c r="J151" s="15">
        <v>1069</v>
      </c>
      <c r="K151" s="13" t="s">
        <v>361</v>
      </c>
      <c r="L151" s="15">
        <v>21380000</v>
      </c>
      <c r="M151" s="18">
        <v>2002</v>
      </c>
      <c r="N151" s="17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</row>
    <row r="152" spans="1:67" s="3" customFormat="1" x14ac:dyDescent="0.2">
      <c r="A152" s="14" t="s">
        <v>2986</v>
      </c>
      <c r="B152" s="14" t="s">
        <v>18</v>
      </c>
      <c r="C152" s="14">
        <v>2025</v>
      </c>
      <c r="D152" s="14" t="str">
        <f t="array" ref="D152">_xlfn.SWITCH(E152,"Bagor","35.18.14","Sukomoro",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2" s="13" t="s">
        <v>18</v>
      </c>
      <c r="F152" s="25" t="s">
        <v>368</v>
      </c>
      <c r="G152" s="14" t="s">
        <v>369</v>
      </c>
      <c r="H152" s="13" t="s">
        <v>20</v>
      </c>
      <c r="I152" s="14" t="s">
        <v>109</v>
      </c>
      <c r="J152" s="15">
        <v>72</v>
      </c>
      <c r="K152" s="13" t="s">
        <v>45</v>
      </c>
      <c r="L152" s="15">
        <v>112800000</v>
      </c>
      <c r="M152" s="18">
        <v>2002</v>
      </c>
      <c r="N152" s="17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</row>
    <row r="153" spans="1:67" s="3" customFormat="1" x14ac:dyDescent="0.2">
      <c r="A153" s="14" t="s">
        <v>2986</v>
      </c>
      <c r="B153" s="14" t="s">
        <v>18</v>
      </c>
      <c r="C153" s="14">
        <v>2025</v>
      </c>
      <c r="D153" s="14" t="str">
        <f t="array" ref="D153">_xlfn.SWITCH(E153,"Bagor","35.18.14","Sukomoro",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3" s="13" t="s">
        <v>18</v>
      </c>
      <c r="F153" s="25" t="s">
        <v>334</v>
      </c>
      <c r="G153" s="14" t="s">
        <v>370</v>
      </c>
      <c r="H153" s="13" t="s">
        <v>20</v>
      </c>
      <c r="I153" s="14" t="s">
        <v>109</v>
      </c>
      <c r="J153" s="15">
        <v>58</v>
      </c>
      <c r="K153" s="13" t="s">
        <v>45</v>
      </c>
      <c r="L153" s="15">
        <v>106700000</v>
      </c>
      <c r="M153" s="18">
        <v>2002</v>
      </c>
      <c r="N153" s="17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</row>
    <row r="154" spans="1:67" s="3" customFormat="1" x14ac:dyDescent="0.2">
      <c r="A154" s="14" t="s">
        <v>2986</v>
      </c>
      <c r="B154" s="14" t="s">
        <v>18</v>
      </c>
      <c r="C154" s="14">
        <v>2025</v>
      </c>
      <c r="D154" s="14" t="str">
        <f t="array" ref="D154">_xlfn.SWITCH(E154,"Bagor","35.18.14","Sukomoro",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" s="13" t="s">
        <v>18</v>
      </c>
      <c r="F154" s="25" t="s">
        <v>334</v>
      </c>
      <c r="G154" s="14" t="s">
        <v>371</v>
      </c>
      <c r="H154" s="13" t="s">
        <v>20</v>
      </c>
      <c r="I154" s="14" t="s">
        <v>109</v>
      </c>
      <c r="J154" s="15">
        <v>58</v>
      </c>
      <c r="K154" s="13" t="s">
        <v>45</v>
      </c>
      <c r="L154" s="15">
        <v>105750000</v>
      </c>
      <c r="M154" s="18">
        <v>2002</v>
      </c>
      <c r="N154" s="17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</row>
    <row r="155" spans="1:67" s="3" customFormat="1" x14ac:dyDescent="0.2">
      <c r="A155" s="14" t="s">
        <v>2986</v>
      </c>
      <c r="B155" s="14" t="s">
        <v>18</v>
      </c>
      <c r="C155" s="14">
        <v>2025</v>
      </c>
      <c r="D155" s="14" t="str">
        <f t="array" ref="D155">_xlfn.SWITCH(E155,"Bagor","35.18.14","Sukomoro",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" s="13" t="s">
        <v>18</v>
      </c>
      <c r="F155" s="14" t="s">
        <v>372</v>
      </c>
      <c r="G155" s="14" t="s">
        <v>373</v>
      </c>
      <c r="H155" s="13" t="s">
        <v>20</v>
      </c>
      <c r="I155" s="14" t="s">
        <v>114</v>
      </c>
      <c r="J155" s="15">
        <v>24</v>
      </c>
      <c r="K155" s="13" t="s">
        <v>45</v>
      </c>
      <c r="L155" s="15">
        <v>32000000</v>
      </c>
      <c r="M155" s="18">
        <v>2002</v>
      </c>
      <c r="N155" s="17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</row>
    <row r="156" spans="1:67" s="3" customFormat="1" x14ac:dyDescent="0.2">
      <c r="A156" s="14" t="s">
        <v>2986</v>
      </c>
      <c r="B156" s="14" t="s">
        <v>18</v>
      </c>
      <c r="C156" s="14">
        <v>2025</v>
      </c>
      <c r="D156" s="14" t="str">
        <f t="array" ref="D156">_xlfn.SWITCH(E156,"Bagor","35.18.14","Sukomoro",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6" s="13" t="s">
        <v>18</v>
      </c>
      <c r="F156" s="14" t="s">
        <v>374</v>
      </c>
      <c r="G156" s="14" t="s">
        <v>375</v>
      </c>
      <c r="H156" s="13" t="s">
        <v>20</v>
      </c>
      <c r="I156" s="14" t="s">
        <v>114</v>
      </c>
      <c r="J156" s="15" t="s">
        <v>376</v>
      </c>
      <c r="K156" s="13" t="s">
        <v>45</v>
      </c>
      <c r="L156" s="15">
        <v>27125000</v>
      </c>
      <c r="M156" s="18">
        <v>2002</v>
      </c>
      <c r="N156" s="17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</row>
    <row r="157" spans="1:67" s="3" customFormat="1" x14ac:dyDescent="0.2">
      <c r="A157" s="14" t="s">
        <v>2986</v>
      </c>
      <c r="B157" s="14" t="s">
        <v>18</v>
      </c>
      <c r="C157" s="14">
        <v>2025</v>
      </c>
      <c r="D157" s="14" t="str">
        <f t="array" ref="D157">_xlfn.SWITCH(E157,"Bagor","35.18.14","Sukomoro",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7" s="13" t="s">
        <v>18</v>
      </c>
      <c r="F157" s="14" t="s">
        <v>377</v>
      </c>
      <c r="G157" s="14" t="s">
        <v>378</v>
      </c>
      <c r="H157" s="13" t="s">
        <v>20</v>
      </c>
      <c r="I157" s="14" t="s">
        <v>114</v>
      </c>
      <c r="J157" s="15" t="s">
        <v>376</v>
      </c>
      <c r="K157" s="13" t="s">
        <v>45</v>
      </c>
      <c r="L157" s="15">
        <v>28125000</v>
      </c>
      <c r="M157" s="18">
        <v>2002</v>
      </c>
      <c r="N157" s="17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</row>
    <row r="158" spans="1:67" s="3" customFormat="1" x14ac:dyDescent="0.2">
      <c r="A158" s="14" t="s">
        <v>2986</v>
      </c>
      <c r="B158" s="14" t="s">
        <v>18</v>
      </c>
      <c r="C158" s="14">
        <v>2025</v>
      </c>
      <c r="D158" s="14" t="str">
        <f t="array" ref="D158">_xlfn.SWITCH(E158,"Bagor","35.18.14","Sukomoro",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" s="13" t="s">
        <v>18</v>
      </c>
      <c r="F158" s="14" t="s">
        <v>379</v>
      </c>
      <c r="G158" s="14" t="s">
        <v>380</v>
      </c>
      <c r="H158" s="13" t="s">
        <v>20</v>
      </c>
      <c r="I158" s="14" t="s">
        <v>147</v>
      </c>
      <c r="J158" s="15">
        <v>13350</v>
      </c>
      <c r="K158" s="13" t="s">
        <v>37</v>
      </c>
      <c r="L158" s="15">
        <v>173500000</v>
      </c>
      <c r="M158" s="18">
        <v>2002</v>
      </c>
      <c r="N158" s="17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</row>
    <row r="159" spans="1:67" s="3" customFormat="1" x14ac:dyDescent="0.2">
      <c r="A159" s="14" t="s">
        <v>2986</v>
      </c>
      <c r="B159" s="14" t="s">
        <v>18</v>
      </c>
      <c r="C159" s="14">
        <v>2025</v>
      </c>
      <c r="D159" s="14" t="str">
        <f t="array" ref="D159">_xlfn.SWITCH(E159,"Bagor","35.18.14","Sukomoro",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" s="13" t="s">
        <v>18</v>
      </c>
      <c r="F159" s="25" t="s">
        <v>355</v>
      </c>
      <c r="G159" s="14" t="s">
        <v>381</v>
      </c>
      <c r="H159" s="13" t="s">
        <v>20</v>
      </c>
      <c r="I159" s="14" t="s">
        <v>21</v>
      </c>
      <c r="J159" s="15" t="s">
        <v>382</v>
      </c>
      <c r="K159" s="13" t="s">
        <v>339</v>
      </c>
      <c r="L159" s="15">
        <v>32000000</v>
      </c>
      <c r="M159" s="18">
        <v>2002</v>
      </c>
      <c r="N159" s="17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</row>
    <row r="160" spans="1:67" s="3" customFormat="1" x14ac:dyDescent="0.2">
      <c r="A160" s="14" t="s">
        <v>2986</v>
      </c>
      <c r="B160" s="14" t="s">
        <v>18</v>
      </c>
      <c r="C160" s="14">
        <v>2025</v>
      </c>
      <c r="D160" s="14" t="str">
        <f t="array" ref="D160">_xlfn.SWITCH(E160,"Bagor","35.18.14","Sukomoro",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0" s="13" t="s">
        <v>18</v>
      </c>
      <c r="F160" s="14" t="s">
        <v>383</v>
      </c>
      <c r="G160" s="14" t="s">
        <v>384</v>
      </c>
      <c r="H160" s="13" t="s">
        <v>20</v>
      </c>
      <c r="I160" s="14" t="s">
        <v>52</v>
      </c>
      <c r="J160" s="15">
        <v>6448</v>
      </c>
      <c r="K160" s="13" t="s">
        <v>148</v>
      </c>
      <c r="L160" s="15">
        <v>15900000</v>
      </c>
      <c r="M160" s="18">
        <v>2002</v>
      </c>
      <c r="N160" s="17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</row>
    <row r="161" spans="1:67" s="3" customFormat="1" x14ac:dyDescent="0.2">
      <c r="A161" s="14" t="s">
        <v>2986</v>
      </c>
      <c r="B161" s="14" t="s">
        <v>18</v>
      </c>
      <c r="C161" s="14">
        <v>2025</v>
      </c>
      <c r="D161" s="14" t="str">
        <f t="array" ref="D161">_xlfn.SWITCH(E161,"Bagor","35.18.14","Sukomoro",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1" s="13" t="s">
        <v>18</v>
      </c>
      <c r="F161" s="14" t="s">
        <v>385</v>
      </c>
      <c r="G161" s="14" t="s">
        <v>386</v>
      </c>
      <c r="H161" s="13" t="s">
        <v>20</v>
      </c>
      <c r="I161" s="14" t="s">
        <v>387</v>
      </c>
      <c r="J161" s="15">
        <v>7900</v>
      </c>
      <c r="K161" s="13" t="s">
        <v>148</v>
      </c>
      <c r="L161" s="15">
        <v>19475000</v>
      </c>
      <c r="M161" s="18">
        <v>2002</v>
      </c>
      <c r="N161" s="17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</row>
    <row r="162" spans="1:67" s="3" customFormat="1" x14ac:dyDescent="0.2">
      <c r="A162" s="14" t="s">
        <v>2986</v>
      </c>
      <c r="B162" s="14" t="s">
        <v>18</v>
      </c>
      <c r="C162" s="14">
        <v>2025</v>
      </c>
      <c r="D162" s="14" t="str">
        <f t="array" ref="D162">_xlfn.SWITCH(E162,"Bagor","35.18.14","Sukomoro",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2" s="13" t="s">
        <v>18</v>
      </c>
      <c r="F162" s="14" t="s">
        <v>388</v>
      </c>
      <c r="G162" s="14" t="s">
        <v>389</v>
      </c>
      <c r="H162" s="13" t="s">
        <v>20</v>
      </c>
      <c r="I162" s="14" t="s">
        <v>387</v>
      </c>
      <c r="J162" s="15">
        <v>6500</v>
      </c>
      <c r="K162" s="13" t="s">
        <v>148</v>
      </c>
      <c r="L162" s="15">
        <v>16022000</v>
      </c>
      <c r="M162" s="18">
        <v>2002</v>
      </c>
      <c r="N162" s="17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</row>
    <row r="163" spans="1:67" s="3" customFormat="1" x14ac:dyDescent="0.2">
      <c r="A163" s="14" t="s">
        <v>2986</v>
      </c>
      <c r="B163" s="14" t="s">
        <v>18</v>
      </c>
      <c r="C163" s="14">
        <v>2025</v>
      </c>
      <c r="D163" s="14" t="str">
        <f t="array" ref="D163">_xlfn.SWITCH(E163,"Bagor","35.18.14","Sukomoro",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3" s="13" t="s">
        <v>57</v>
      </c>
      <c r="F163" s="14" t="s">
        <v>390</v>
      </c>
      <c r="G163" s="14" t="s">
        <v>391</v>
      </c>
      <c r="H163" s="13" t="s">
        <v>20</v>
      </c>
      <c r="I163" s="14" t="s">
        <v>21</v>
      </c>
      <c r="J163" s="28">
        <v>54</v>
      </c>
      <c r="K163" s="13" t="s">
        <v>37</v>
      </c>
      <c r="L163" s="15">
        <f>18500000*J163</f>
        <v>999000000</v>
      </c>
      <c r="M163" s="24" t="s">
        <v>392</v>
      </c>
      <c r="N163" s="17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</row>
    <row r="164" spans="1:67" s="3" customFormat="1" x14ac:dyDescent="0.2">
      <c r="A164" s="14" t="s">
        <v>2986</v>
      </c>
      <c r="B164" s="14" t="s">
        <v>18</v>
      </c>
      <c r="C164" s="14">
        <v>2025</v>
      </c>
      <c r="D164" s="14" t="str">
        <f t="array" ref="D164">_xlfn.SWITCH(E164,"Bagor","35.18.14","Sukomoro",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4" s="13" t="s">
        <v>57</v>
      </c>
      <c r="F164" s="25" t="s">
        <v>393</v>
      </c>
      <c r="G164" s="14" t="s">
        <v>394</v>
      </c>
      <c r="H164" s="13" t="s">
        <v>20</v>
      </c>
      <c r="I164" s="14" t="s">
        <v>21</v>
      </c>
      <c r="J164" s="28">
        <v>48</v>
      </c>
      <c r="K164" s="13" t="s">
        <v>135</v>
      </c>
      <c r="L164" s="15">
        <v>20447000</v>
      </c>
      <c r="M164" s="18">
        <v>2002</v>
      </c>
      <c r="N164" s="17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</row>
    <row r="165" spans="1:67" s="3" customFormat="1" x14ac:dyDescent="0.2">
      <c r="A165" s="14" t="s">
        <v>2986</v>
      </c>
      <c r="B165" s="14" t="s">
        <v>18</v>
      </c>
      <c r="C165" s="14">
        <v>2025</v>
      </c>
      <c r="D165" s="14" t="str">
        <f t="array" ref="D165">_xlfn.SWITCH(E165,"Bagor","35.18.14","Sukomoro",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5" s="13" t="s">
        <v>57</v>
      </c>
      <c r="F165" s="14" t="s">
        <v>395</v>
      </c>
      <c r="G165" s="14" t="s">
        <v>396</v>
      </c>
      <c r="H165" s="13" t="s">
        <v>20</v>
      </c>
      <c r="I165" s="14" t="s">
        <v>397</v>
      </c>
      <c r="J165" s="28">
        <v>21</v>
      </c>
      <c r="K165" s="13" t="s">
        <v>45</v>
      </c>
      <c r="L165" s="15">
        <v>67500000</v>
      </c>
      <c r="M165" s="18">
        <v>2002</v>
      </c>
      <c r="N165" s="17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</row>
    <row r="166" spans="1:67" s="3" customFormat="1" x14ac:dyDescent="0.2">
      <c r="A166" s="14" t="s">
        <v>2986</v>
      </c>
      <c r="B166" s="14" t="s">
        <v>18</v>
      </c>
      <c r="C166" s="14">
        <v>2025</v>
      </c>
      <c r="D166" s="14" t="str">
        <f t="array" ref="D166">_xlfn.SWITCH(E166,"Bagor","35.18.14","Sukomoro",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6" s="13" t="s">
        <v>57</v>
      </c>
      <c r="F166" s="14" t="s">
        <v>398</v>
      </c>
      <c r="G166" s="14" t="s">
        <v>399</v>
      </c>
      <c r="H166" s="13" t="s">
        <v>20</v>
      </c>
      <c r="I166" s="14" t="s">
        <v>61</v>
      </c>
      <c r="J166" s="28">
        <v>92</v>
      </c>
      <c r="K166" s="13" t="s">
        <v>135</v>
      </c>
      <c r="L166" s="15">
        <v>27650000</v>
      </c>
      <c r="M166" s="23" t="s">
        <v>400</v>
      </c>
      <c r="N166" s="17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</row>
    <row r="167" spans="1:67" s="3" customFormat="1" x14ac:dyDescent="0.2">
      <c r="A167" s="14" t="s">
        <v>2986</v>
      </c>
      <c r="B167" s="14" t="s">
        <v>18</v>
      </c>
      <c r="C167" s="14">
        <v>2025</v>
      </c>
      <c r="D167" s="14" t="str">
        <f t="array" ref="D167">_xlfn.SWITCH(E167,"Bagor","35.18.14","Sukomoro",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7" s="13" t="s">
        <v>57</v>
      </c>
      <c r="F167" s="14" t="s">
        <v>390</v>
      </c>
      <c r="G167" s="14" t="s">
        <v>401</v>
      </c>
      <c r="H167" s="13" t="s">
        <v>20</v>
      </c>
      <c r="I167" s="14" t="s">
        <v>21</v>
      </c>
      <c r="J167" s="28">
        <v>46</v>
      </c>
      <c r="K167" s="13" t="s">
        <v>135</v>
      </c>
      <c r="L167" s="15">
        <v>12890000</v>
      </c>
      <c r="M167" s="18">
        <v>2002</v>
      </c>
      <c r="N167" s="17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</row>
    <row r="168" spans="1:67" s="3" customFormat="1" x14ac:dyDescent="0.2">
      <c r="A168" s="14" t="s">
        <v>2986</v>
      </c>
      <c r="B168" s="14" t="s">
        <v>18</v>
      </c>
      <c r="C168" s="14">
        <v>2025</v>
      </c>
      <c r="D168" s="14" t="str">
        <f t="array" ref="D168">_xlfn.SWITCH(E168,"Bagor","35.18.14","Sukomoro",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8" s="13" t="s">
        <v>57</v>
      </c>
      <c r="F168" s="14" t="s">
        <v>129</v>
      </c>
      <c r="G168" s="14" t="s">
        <v>402</v>
      </c>
      <c r="H168" s="13" t="s">
        <v>20</v>
      </c>
      <c r="I168" s="14" t="s">
        <v>21</v>
      </c>
      <c r="J168" s="28">
        <v>58</v>
      </c>
      <c r="K168" s="13" t="s">
        <v>135</v>
      </c>
      <c r="L168" s="15">
        <v>26850000</v>
      </c>
      <c r="M168" s="18">
        <v>2002</v>
      </c>
      <c r="N168" s="17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</row>
    <row r="169" spans="1:67" s="3" customFormat="1" x14ac:dyDescent="0.2">
      <c r="A169" s="14" t="s">
        <v>2986</v>
      </c>
      <c r="B169" s="14" t="s">
        <v>18</v>
      </c>
      <c r="C169" s="14">
        <v>2025</v>
      </c>
      <c r="D169" s="14" t="str">
        <f t="array" ref="D169">_xlfn.SWITCH(E169,"Bagor","35.18.14","Sukomoro",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9" s="13" t="s">
        <v>57</v>
      </c>
      <c r="F169" s="14" t="s">
        <v>403</v>
      </c>
      <c r="G169" s="14" t="s">
        <v>404</v>
      </c>
      <c r="H169" s="13" t="s">
        <v>20</v>
      </c>
      <c r="I169" s="14" t="s">
        <v>405</v>
      </c>
      <c r="J169" s="28">
        <v>41</v>
      </c>
      <c r="K169" s="13" t="s">
        <v>22</v>
      </c>
      <c r="L169" s="15">
        <v>123000000</v>
      </c>
      <c r="M169" s="18">
        <v>2002</v>
      </c>
      <c r="N169" s="17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</row>
    <row r="170" spans="1:67" s="3" customFormat="1" x14ac:dyDescent="0.2">
      <c r="A170" s="14" t="s">
        <v>2986</v>
      </c>
      <c r="B170" s="14" t="s">
        <v>18</v>
      </c>
      <c r="C170" s="14">
        <v>2025</v>
      </c>
      <c r="D170" s="14" t="str">
        <f t="array" ref="D170">_xlfn.SWITCH(E170,"Bagor","35.18.14","Sukomoro",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0" s="13" t="s">
        <v>57</v>
      </c>
      <c r="F170" s="14" t="s">
        <v>56</v>
      </c>
      <c r="G170" s="14" t="s">
        <v>406</v>
      </c>
      <c r="H170" s="13" t="s">
        <v>20</v>
      </c>
      <c r="I170" s="14" t="s">
        <v>313</v>
      </c>
      <c r="J170" s="15">
        <v>20000</v>
      </c>
      <c r="K170" s="13" t="s">
        <v>314</v>
      </c>
      <c r="L170" s="15">
        <v>31000000</v>
      </c>
      <c r="M170" s="18">
        <v>2002</v>
      </c>
      <c r="N170" s="17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</row>
    <row r="171" spans="1:67" s="3" customFormat="1" x14ac:dyDescent="0.2">
      <c r="A171" s="14" t="s">
        <v>2986</v>
      </c>
      <c r="B171" s="14" t="s">
        <v>18</v>
      </c>
      <c r="C171" s="14">
        <v>2025</v>
      </c>
      <c r="D171" s="14" t="str">
        <f t="array" ref="D171">_xlfn.SWITCH(E171,"Bagor","35.18.14","Sukomoro",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1" s="13" t="s">
        <v>57</v>
      </c>
      <c r="F171" s="14" t="s">
        <v>407</v>
      </c>
      <c r="G171" s="14" t="s">
        <v>408</v>
      </c>
      <c r="H171" s="13" t="s">
        <v>20</v>
      </c>
      <c r="I171" s="14" t="s">
        <v>114</v>
      </c>
      <c r="J171" s="28">
        <v>15</v>
      </c>
      <c r="K171" s="13" t="s">
        <v>45</v>
      </c>
      <c r="L171" s="15">
        <v>48750000</v>
      </c>
      <c r="M171" s="18">
        <v>2002</v>
      </c>
      <c r="N171" s="17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</row>
    <row r="172" spans="1:67" s="3" customFormat="1" x14ac:dyDescent="0.2">
      <c r="A172" s="14" t="s">
        <v>2986</v>
      </c>
      <c r="B172" s="14" t="s">
        <v>18</v>
      </c>
      <c r="C172" s="14">
        <v>2025</v>
      </c>
      <c r="D172" s="14" t="str">
        <f t="array" ref="D172">_xlfn.SWITCH(E172,"Bagor","35.18.14","Sukomoro",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2" s="13" t="s">
        <v>57</v>
      </c>
      <c r="F172" s="14" t="s">
        <v>409</v>
      </c>
      <c r="G172" s="14" t="s">
        <v>410</v>
      </c>
      <c r="H172" s="13" t="s">
        <v>20</v>
      </c>
      <c r="I172" s="14" t="s">
        <v>411</v>
      </c>
      <c r="J172" s="28"/>
      <c r="K172" s="13"/>
      <c r="L172" s="15">
        <v>61500000</v>
      </c>
      <c r="M172" s="18">
        <v>2002</v>
      </c>
      <c r="N172" s="17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</row>
    <row r="173" spans="1:67" s="3" customFormat="1" x14ac:dyDescent="0.2">
      <c r="A173" s="14" t="s">
        <v>2986</v>
      </c>
      <c r="B173" s="14" t="s">
        <v>18</v>
      </c>
      <c r="C173" s="14">
        <v>2025</v>
      </c>
      <c r="D173" s="14" t="str">
        <f t="array" ref="D173">_xlfn.SWITCH(E173,"Bagor","35.18.14","Sukomoro",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3" s="13" t="s">
        <v>57</v>
      </c>
      <c r="F173" s="14" t="s">
        <v>409</v>
      </c>
      <c r="G173" s="14" t="s">
        <v>412</v>
      </c>
      <c r="H173" s="13" t="s">
        <v>20</v>
      </c>
      <c r="I173" s="14" t="s">
        <v>413</v>
      </c>
      <c r="J173" s="15">
        <v>4500</v>
      </c>
      <c r="K173" s="13" t="s">
        <v>11</v>
      </c>
      <c r="L173" s="15">
        <v>135000000</v>
      </c>
      <c r="M173" s="18">
        <v>2002</v>
      </c>
      <c r="N173" s="17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</row>
    <row r="174" spans="1:67" s="3" customFormat="1" x14ac:dyDescent="0.2">
      <c r="A174" s="14" t="s">
        <v>2986</v>
      </c>
      <c r="B174" s="14" t="s">
        <v>18</v>
      </c>
      <c r="C174" s="14">
        <v>2025</v>
      </c>
      <c r="D174" s="14" t="str">
        <f t="array" ref="D174">_xlfn.SWITCH(E174,"Bagor","35.18.14","Sukomoro",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4" s="13" t="s">
        <v>57</v>
      </c>
      <c r="F174" s="14" t="s">
        <v>414</v>
      </c>
      <c r="G174" s="14" t="s">
        <v>415</v>
      </c>
      <c r="H174" s="13" t="s">
        <v>20</v>
      </c>
      <c r="I174" s="14" t="s">
        <v>21</v>
      </c>
      <c r="J174" s="28">
        <v>160</v>
      </c>
      <c r="K174" s="13" t="s">
        <v>135</v>
      </c>
      <c r="L174" s="15">
        <v>67550000</v>
      </c>
      <c r="M174" s="18">
        <v>2002</v>
      </c>
      <c r="N174" s="17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</row>
    <row r="175" spans="1:67" s="3" customFormat="1" x14ac:dyDescent="0.2">
      <c r="A175" s="14" t="s">
        <v>2986</v>
      </c>
      <c r="B175" s="14" t="s">
        <v>18</v>
      </c>
      <c r="C175" s="14">
        <v>2025</v>
      </c>
      <c r="D175" s="14" t="str">
        <f t="array" ref="D175">_xlfn.SWITCH(E175,"Bagor","35.18.14","Sukomoro",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5" s="13" t="s">
        <v>84</v>
      </c>
      <c r="F175" s="14" t="s">
        <v>416</v>
      </c>
      <c r="G175" s="14" t="s">
        <v>417</v>
      </c>
      <c r="H175" s="13" t="s">
        <v>20</v>
      </c>
      <c r="I175" s="14" t="s">
        <v>21</v>
      </c>
      <c r="J175" s="28" t="s">
        <v>418</v>
      </c>
      <c r="K175" s="13" t="s">
        <v>333</v>
      </c>
      <c r="L175" s="15">
        <v>249850000</v>
      </c>
      <c r="M175" s="18">
        <v>2002</v>
      </c>
      <c r="N175" s="17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</row>
    <row r="176" spans="1:67" s="3" customFormat="1" x14ac:dyDescent="0.2">
      <c r="A176" s="14" t="s">
        <v>2986</v>
      </c>
      <c r="B176" s="14" t="s">
        <v>18</v>
      </c>
      <c r="C176" s="14">
        <v>2025</v>
      </c>
      <c r="D176" s="14" t="str">
        <f t="array" ref="D176">_xlfn.SWITCH(E176,"Bagor","35.18.14","Sukomoro",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6" s="13" t="s">
        <v>84</v>
      </c>
      <c r="F176" s="14" t="s">
        <v>83</v>
      </c>
      <c r="G176" s="14" t="s">
        <v>182</v>
      </c>
      <c r="H176" s="13" t="s">
        <v>20</v>
      </c>
      <c r="I176" s="14" t="s">
        <v>21</v>
      </c>
      <c r="J176" s="28">
        <v>240</v>
      </c>
      <c r="K176" s="13" t="s">
        <v>37</v>
      </c>
      <c r="L176" s="15">
        <v>245000000</v>
      </c>
      <c r="M176" s="32">
        <v>39395</v>
      </c>
      <c r="N176" s="17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</row>
    <row r="177" spans="1:67" s="3" customFormat="1" x14ac:dyDescent="0.2">
      <c r="A177" s="14" t="s">
        <v>2986</v>
      </c>
      <c r="B177" s="14" t="s">
        <v>18</v>
      </c>
      <c r="C177" s="14">
        <v>2025</v>
      </c>
      <c r="D177" s="14" t="str">
        <f t="array" ref="D177">_xlfn.SWITCH(E177,"Bagor","35.18.14","Sukomoro",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7" s="13" t="s">
        <v>84</v>
      </c>
      <c r="F177" s="14" t="s">
        <v>416</v>
      </c>
      <c r="G177" s="14" t="s">
        <v>419</v>
      </c>
      <c r="H177" s="13" t="s">
        <v>9</v>
      </c>
      <c r="I177" s="14" t="s">
        <v>114</v>
      </c>
      <c r="J177" s="28">
        <v>15</v>
      </c>
      <c r="K177" s="13" t="s">
        <v>45</v>
      </c>
      <c r="L177" s="15">
        <v>72000000</v>
      </c>
      <c r="M177" s="18">
        <v>2002</v>
      </c>
      <c r="N177" s="17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</row>
    <row r="178" spans="1:67" s="3" customFormat="1" x14ac:dyDescent="0.2">
      <c r="A178" s="14" t="s">
        <v>2986</v>
      </c>
      <c r="B178" s="14" t="s">
        <v>18</v>
      </c>
      <c r="C178" s="14">
        <v>2025</v>
      </c>
      <c r="D178" s="14" t="str">
        <f t="array" ref="D178">_xlfn.SWITCH(E178,"Bagor","35.18.14","Sukomoro",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8" s="13" t="s">
        <v>84</v>
      </c>
      <c r="F178" s="14" t="s">
        <v>83</v>
      </c>
      <c r="G178" s="14" t="s">
        <v>420</v>
      </c>
      <c r="H178" s="13" t="s">
        <v>20</v>
      </c>
      <c r="I178" s="14" t="s">
        <v>421</v>
      </c>
      <c r="J178" s="28">
        <v>750</v>
      </c>
      <c r="K178" s="13" t="s">
        <v>22</v>
      </c>
      <c r="L178" s="15">
        <v>19500000</v>
      </c>
      <c r="M178" s="18">
        <v>2002</v>
      </c>
      <c r="N178" s="17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</row>
    <row r="179" spans="1:67" s="3" customFormat="1" x14ac:dyDescent="0.2">
      <c r="A179" s="14" t="s">
        <v>2986</v>
      </c>
      <c r="B179" s="14" t="s">
        <v>18</v>
      </c>
      <c r="C179" s="14">
        <v>2025</v>
      </c>
      <c r="D179" s="14" t="str">
        <f t="array" ref="D179">_xlfn.SWITCH(E179,"Bagor","35.18.14","Sukomoro",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9" s="13" t="s">
        <v>84</v>
      </c>
      <c r="F179" s="14" t="s">
        <v>83</v>
      </c>
      <c r="G179" s="14" t="s">
        <v>422</v>
      </c>
      <c r="H179" s="13" t="s">
        <v>20</v>
      </c>
      <c r="I179" s="14" t="s">
        <v>21</v>
      </c>
      <c r="J179" s="28">
        <v>200</v>
      </c>
      <c r="K179" s="13" t="s">
        <v>135</v>
      </c>
      <c r="L179" s="15">
        <v>55000000</v>
      </c>
      <c r="M179" s="18">
        <v>2002</v>
      </c>
      <c r="N179" s="17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</row>
    <row r="180" spans="1:67" s="3" customFormat="1" x14ac:dyDescent="0.2">
      <c r="A180" s="14" t="s">
        <v>2986</v>
      </c>
      <c r="B180" s="14" t="s">
        <v>18</v>
      </c>
      <c r="C180" s="14">
        <v>2025</v>
      </c>
      <c r="D180" s="14" t="str">
        <f t="array" ref="D180">_xlfn.SWITCH(E180,"Bagor","35.18.14","Sukomoro",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0" s="13" t="s">
        <v>7</v>
      </c>
      <c r="F180" s="14" t="s">
        <v>157</v>
      </c>
      <c r="G180" s="14" t="s">
        <v>423</v>
      </c>
      <c r="H180" s="13" t="s">
        <v>43</v>
      </c>
      <c r="I180" s="14" t="s">
        <v>21</v>
      </c>
      <c r="J180" s="27">
        <v>120</v>
      </c>
      <c r="K180" s="13" t="s">
        <v>135</v>
      </c>
      <c r="L180" s="15">
        <v>51000000</v>
      </c>
      <c r="M180" s="18">
        <v>2002</v>
      </c>
      <c r="N180" s="17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</row>
    <row r="181" spans="1:67" s="3" customFormat="1" x14ac:dyDescent="0.2">
      <c r="A181" s="14" t="s">
        <v>2986</v>
      </c>
      <c r="B181" s="14" t="s">
        <v>18</v>
      </c>
      <c r="C181" s="14">
        <v>2025</v>
      </c>
      <c r="D181" s="14" t="str">
        <f t="array" ref="D181">_xlfn.SWITCH(E181,"Bagor","35.18.14","Sukomoro",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1" s="13" t="s">
        <v>7</v>
      </c>
      <c r="F181" s="14" t="s">
        <v>157</v>
      </c>
      <c r="G181" s="14" t="s">
        <v>424</v>
      </c>
      <c r="H181" s="13" t="s">
        <v>20</v>
      </c>
      <c r="I181" s="14" t="s">
        <v>21</v>
      </c>
      <c r="J181" s="27">
        <v>200</v>
      </c>
      <c r="K181" s="13" t="s">
        <v>135</v>
      </c>
      <c r="L181" s="15">
        <v>85600000</v>
      </c>
      <c r="M181" s="18">
        <v>2002</v>
      </c>
      <c r="N181" s="17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</row>
    <row r="182" spans="1:67" s="3" customFormat="1" x14ac:dyDescent="0.2">
      <c r="A182" s="14" t="s">
        <v>2986</v>
      </c>
      <c r="B182" s="14" t="s">
        <v>18</v>
      </c>
      <c r="C182" s="14">
        <v>2025</v>
      </c>
      <c r="D182" s="14" t="str">
        <f t="array" ref="D182">_xlfn.SWITCH(E182,"Bagor","35.18.14","Sukomoro",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2" s="13" t="s">
        <v>7</v>
      </c>
      <c r="F182" s="14" t="s">
        <v>425</v>
      </c>
      <c r="G182" s="14" t="s">
        <v>426</v>
      </c>
      <c r="H182" s="13" t="s">
        <v>20</v>
      </c>
      <c r="I182" s="14" t="s">
        <v>21</v>
      </c>
      <c r="J182" s="27">
        <v>72</v>
      </c>
      <c r="K182" s="13" t="s">
        <v>135</v>
      </c>
      <c r="L182" s="15">
        <v>36576000</v>
      </c>
      <c r="M182" s="18">
        <v>2002</v>
      </c>
      <c r="N182" s="17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</row>
    <row r="183" spans="1:67" s="3" customFormat="1" ht="12" x14ac:dyDescent="0.2">
      <c r="A183" s="14" t="s">
        <v>2986</v>
      </c>
      <c r="B183" s="14" t="s">
        <v>18</v>
      </c>
      <c r="C183" s="14">
        <v>2025</v>
      </c>
      <c r="D183" s="14" t="str">
        <f t="array" ref="D183">_xlfn.SWITCH(E183,"Bagor","35.18.14","Sukomoro",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3" s="13" t="s">
        <v>7</v>
      </c>
      <c r="F183" s="14" t="s">
        <v>157</v>
      </c>
      <c r="G183" s="14" t="s">
        <v>423</v>
      </c>
      <c r="H183" s="13" t="s">
        <v>20</v>
      </c>
      <c r="I183" s="14" t="s">
        <v>427</v>
      </c>
      <c r="J183" s="28">
        <v>86.5</v>
      </c>
      <c r="K183" s="13" t="s">
        <v>428</v>
      </c>
      <c r="L183" s="15">
        <v>91156000</v>
      </c>
      <c r="M183" s="18">
        <v>2002</v>
      </c>
      <c r="N183" s="17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</row>
    <row r="184" spans="1:67" s="3" customFormat="1" x14ac:dyDescent="0.2">
      <c r="A184" s="14" t="s">
        <v>2986</v>
      </c>
      <c r="B184" s="14" t="s">
        <v>18</v>
      </c>
      <c r="C184" s="14">
        <v>2025</v>
      </c>
      <c r="D184" s="14" t="str">
        <f t="array" ref="D184">_xlfn.SWITCH(E184,"Bagor","35.18.14","Sukomoro",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4" s="13" t="s">
        <v>7</v>
      </c>
      <c r="F184" s="14" t="s">
        <v>277</v>
      </c>
      <c r="G184" s="14" t="s">
        <v>429</v>
      </c>
      <c r="H184" s="13" t="s">
        <v>9</v>
      </c>
      <c r="I184" s="14" t="s">
        <v>109</v>
      </c>
      <c r="J184" s="27">
        <v>30</v>
      </c>
      <c r="K184" s="13" t="s">
        <v>45</v>
      </c>
      <c r="L184" s="15">
        <v>54500000</v>
      </c>
      <c r="M184" s="18">
        <v>2002</v>
      </c>
      <c r="N184" s="17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</row>
    <row r="185" spans="1:67" s="3" customFormat="1" x14ac:dyDescent="0.2">
      <c r="A185" s="14" t="s">
        <v>2986</v>
      </c>
      <c r="B185" s="14" t="s">
        <v>18</v>
      </c>
      <c r="C185" s="14">
        <v>2025</v>
      </c>
      <c r="D185" s="14" t="str">
        <f t="array" ref="D185">_xlfn.SWITCH(E185,"Bagor","35.18.14","Sukomoro",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5" s="13" t="s">
        <v>7</v>
      </c>
      <c r="F185" s="14" t="s">
        <v>277</v>
      </c>
      <c r="G185" s="14" t="s">
        <v>430</v>
      </c>
      <c r="H185" s="13" t="s">
        <v>9</v>
      </c>
      <c r="I185" s="14" t="s">
        <v>109</v>
      </c>
      <c r="J185" s="27">
        <v>27</v>
      </c>
      <c r="K185" s="13" t="s">
        <v>45</v>
      </c>
      <c r="L185" s="15">
        <v>49750000</v>
      </c>
      <c r="M185" s="18">
        <v>2002</v>
      </c>
      <c r="N185" s="17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</row>
    <row r="186" spans="1:67" s="3" customFormat="1" x14ac:dyDescent="0.2">
      <c r="A186" s="14" t="s">
        <v>2986</v>
      </c>
      <c r="B186" s="14" t="s">
        <v>18</v>
      </c>
      <c r="C186" s="14">
        <v>2025</v>
      </c>
      <c r="D186" s="14" t="str">
        <f t="array" ref="D186">_xlfn.SWITCH(E186,"Bagor","35.18.14","Sukomoro",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6" s="13" t="s">
        <v>7</v>
      </c>
      <c r="F186" s="14" t="s">
        <v>274</v>
      </c>
      <c r="G186" s="14" t="s">
        <v>431</v>
      </c>
      <c r="H186" s="13" t="s">
        <v>20</v>
      </c>
      <c r="I186" s="14" t="s">
        <v>290</v>
      </c>
      <c r="J186" s="27">
        <v>273</v>
      </c>
      <c r="K186" s="13" t="s">
        <v>217</v>
      </c>
      <c r="L186" s="15">
        <v>3100000</v>
      </c>
      <c r="M186" s="18">
        <v>2002</v>
      </c>
      <c r="N186" s="17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</row>
    <row r="187" spans="1:67" s="3" customFormat="1" x14ac:dyDescent="0.2">
      <c r="A187" s="14" t="s">
        <v>2986</v>
      </c>
      <c r="B187" s="14" t="s">
        <v>18</v>
      </c>
      <c r="C187" s="14">
        <v>2025</v>
      </c>
      <c r="D187" s="14" t="str">
        <f t="array" ref="D187">_xlfn.SWITCH(E187,"Bagor","35.18.14","Sukomoro",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7" s="13" t="s">
        <v>7</v>
      </c>
      <c r="F187" s="14" t="s">
        <v>157</v>
      </c>
      <c r="G187" s="14" t="s">
        <v>432</v>
      </c>
      <c r="H187" s="13" t="s">
        <v>20</v>
      </c>
      <c r="I187" s="14" t="s">
        <v>21</v>
      </c>
      <c r="J187" s="27">
        <v>62</v>
      </c>
      <c r="K187" s="13" t="s">
        <v>135</v>
      </c>
      <c r="L187" s="15">
        <v>31496000</v>
      </c>
      <c r="M187" s="18">
        <v>2002</v>
      </c>
      <c r="N187" s="17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</row>
    <row r="188" spans="1:67" s="3" customFormat="1" x14ac:dyDescent="0.2">
      <c r="A188" s="14" t="s">
        <v>2986</v>
      </c>
      <c r="B188" s="14" t="s">
        <v>18</v>
      </c>
      <c r="C188" s="14">
        <v>2025</v>
      </c>
      <c r="D188" s="14" t="str">
        <f t="array" ref="D188">_xlfn.SWITCH(E188,"Bagor","35.18.14","Sukomoro",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8" s="13" t="s">
        <v>7</v>
      </c>
      <c r="F188" s="14" t="s">
        <v>157</v>
      </c>
      <c r="G188" s="14" t="s">
        <v>433</v>
      </c>
      <c r="H188" s="13" t="s">
        <v>20</v>
      </c>
      <c r="I188" s="14" t="s">
        <v>21</v>
      </c>
      <c r="J188" s="27">
        <v>68</v>
      </c>
      <c r="K188" s="13" t="s">
        <v>135</v>
      </c>
      <c r="L188" s="15">
        <v>34544000</v>
      </c>
      <c r="M188" s="18">
        <v>2002</v>
      </c>
      <c r="N188" s="1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</row>
    <row r="189" spans="1:67" s="3" customFormat="1" x14ac:dyDescent="0.2">
      <c r="A189" s="14" t="s">
        <v>2986</v>
      </c>
      <c r="B189" s="14" t="s">
        <v>18</v>
      </c>
      <c r="C189" s="14">
        <v>2025</v>
      </c>
      <c r="D189" s="14" t="str">
        <f t="array" ref="D189">_xlfn.SWITCH(E189,"Bagor","35.18.14","Sukomoro",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9" s="13" t="s">
        <v>7</v>
      </c>
      <c r="F189" s="14" t="s">
        <v>434</v>
      </c>
      <c r="G189" s="14" t="s">
        <v>435</v>
      </c>
      <c r="H189" s="13" t="s">
        <v>20</v>
      </c>
      <c r="I189" s="14" t="s">
        <v>21</v>
      </c>
      <c r="J189" s="27">
        <v>62</v>
      </c>
      <c r="K189" s="13" t="s">
        <v>135</v>
      </c>
      <c r="L189" s="15">
        <v>34544000</v>
      </c>
      <c r="M189" s="18">
        <v>2002</v>
      </c>
      <c r="N189" s="17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</row>
    <row r="190" spans="1:67" s="3" customFormat="1" x14ac:dyDescent="0.2">
      <c r="A190" s="14" t="s">
        <v>2986</v>
      </c>
      <c r="B190" s="14" t="s">
        <v>18</v>
      </c>
      <c r="C190" s="14">
        <v>2025</v>
      </c>
      <c r="D190" s="14" t="str">
        <f t="array" ref="D190">_xlfn.SWITCH(E190,"Bagor","35.18.14","Sukomoro",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0" s="13" t="s">
        <v>119</v>
      </c>
      <c r="F190" s="14" t="s">
        <v>436</v>
      </c>
      <c r="G190" s="14" t="s">
        <v>437</v>
      </c>
      <c r="H190" s="13" t="s">
        <v>20</v>
      </c>
      <c r="I190" s="14" t="s">
        <v>61</v>
      </c>
      <c r="J190" s="28">
        <v>400</v>
      </c>
      <c r="K190" s="13" t="s">
        <v>37</v>
      </c>
      <c r="L190" s="15">
        <v>143200000</v>
      </c>
      <c r="M190" s="18">
        <v>2002</v>
      </c>
      <c r="N190" s="17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</row>
    <row r="191" spans="1:67" s="3" customFormat="1" x14ac:dyDescent="0.2">
      <c r="A191" s="14" t="s">
        <v>2986</v>
      </c>
      <c r="B191" s="14" t="s">
        <v>18</v>
      </c>
      <c r="C191" s="14">
        <v>2025</v>
      </c>
      <c r="D191" s="14" t="str">
        <f t="array" ref="D191">_xlfn.SWITCH(E191,"Bagor","35.18.14","Sukomoro",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1" s="13" t="s">
        <v>119</v>
      </c>
      <c r="F191" s="14" t="s">
        <v>438</v>
      </c>
      <c r="G191" s="14" t="s">
        <v>439</v>
      </c>
      <c r="H191" s="13" t="s">
        <v>20</v>
      </c>
      <c r="I191" s="14" t="s">
        <v>440</v>
      </c>
      <c r="J191" s="28">
        <v>50</v>
      </c>
      <c r="K191" s="13" t="s">
        <v>37</v>
      </c>
      <c r="L191" s="15">
        <v>68724000</v>
      </c>
      <c r="M191" s="18">
        <v>2002</v>
      </c>
      <c r="N191" s="17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</row>
    <row r="192" spans="1:67" s="3" customFormat="1" x14ac:dyDescent="0.2">
      <c r="A192" s="14" t="s">
        <v>2986</v>
      </c>
      <c r="B192" s="14" t="s">
        <v>18</v>
      </c>
      <c r="C192" s="14">
        <v>2025</v>
      </c>
      <c r="D192" s="14" t="str">
        <f t="array" ref="D192">_xlfn.SWITCH(E192,"Bagor","35.18.14","Sukomoro",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2" s="13" t="s">
        <v>119</v>
      </c>
      <c r="F192" s="14" t="s">
        <v>441</v>
      </c>
      <c r="G192" s="14" t="s">
        <v>442</v>
      </c>
      <c r="H192" s="13" t="s">
        <v>43</v>
      </c>
      <c r="I192" s="14" t="s">
        <v>440</v>
      </c>
      <c r="J192" s="28">
        <v>240</v>
      </c>
      <c r="K192" s="13" t="s">
        <v>37</v>
      </c>
      <c r="L192" s="15">
        <v>411500000</v>
      </c>
      <c r="M192" s="26">
        <v>39353</v>
      </c>
      <c r="N192" s="17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</row>
    <row r="193" spans="1:67" s="3" customFormat="1" x14ac:dyDescent="0.2">
      <c r="A193" s="14" t="s">
        <v>2986</v>
      </c>
      <c r="B193" s="14" t="s">
        <v>18</v>
      </c>
      <c r="C193" s="14">
        <v>2025</v>
      </c>
      <c r="D193" s="14" t="str">
        <f t="array" ref="D193">_xlfn.SWITCH(E193,"Bagor","35.18.14","Sukomoro",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3" s="13" t="s">
        <v>119</v>
      </c>
      <c r="F193" s="14" t="s">
        <v>118</v>
      </c>
      <c r="G193" s="14" t="s">
        <v>443</v>
      </c>
      <c r="H193" s="13" t="s">
        <v>20</v>
      </c>
      <c r="I193" s="14" t="s">
        <v>397</v>
      </c>
      <c r="J193" s="28">
        <v>42</v>
      </c>
      <c r="K193" s="13" t="s">
        <v>45</v>
      </c>
      <c r="L193" s="15">
        <v>131000000</v>
      </c>
      <c r="M193" s="18">
        <v>2002</v>
      </c>
      <c r="N193" s="17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</row>
    <row r="194" spans="1:67" s="3" customFormat="1" x14ac:dyDescent="0.2">
      <c r="A194" s="14" t="s">
        <v>2986</v>
      </c>
      <c r="B194" s="14" t="s">
        <v>18</v>
      </c>
      <c r="C194" s="14">
        <v>2025</v>
      </c>
      <c r="D194" s="14" t="str">
        <f t="array" ref="D194">_xlfn.SWITCH(E194,"Bagor","35.18.14","Sukomoro",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4" s="13" t="s">
        <v>119</v>
      </c>
      <c r="F194" s="14" t="s">
        <v>444</v>
      </c>
      <c r="G194" s="14" t="s">
        <v>443</v>
      </c>
      <c r="H194" s="13" t="s">
        <v>20</v>
      </c>
      <c r="I194" s="14" t="s">
        <v>397</v>
      </c>
      <c r="J194" s="28">
        <v>28</v>
      </c>
      <c r="K194" s="13" t="s">
        <v>45</v>
      </c>
      <c r="L194" s="15">
        <v>87000000</v>
      </c>
      <c r="M194" s="18">
        <v>2002</v>
      </c>
      <c r="N194" s="17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</row>
    <row r="195" spans="1:67" s="3" customFormat="1" x14ac:dyDescent="0.2">
      <c r="A195" s="14" t="s">
        <v>2986</v>
      </c>
      <c r="B195" s="14" t="s">
        <v>18</v>
      </c>
      <c r="C195" s="14">
        <v>2025</v>
      </c>
      <c r="D195" s="14" t="str">
        <f t="array" ref="D195">_xlfn.SWITCH(E195,"Bagor","35.18.14","Sukomoro",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5" s="13" t="s">
        <v>119</v>
      </c>
      <c r="F195" s="14" t="s">
        <v>118</v>
      </c>
      <c r="G195" s="14" t="s">
        <v>445</v>
      </c>
      <c r="H195" s="13" t="s">
        <v>20</v>
      </c>
      <c r="I195" s="14" t="s">
        <v>61</v>
      </c>
      <c r="J195" s="28" t="s">
        <v>446</v>
      </c>
      <c r="K195" s="13" t="s">
        <v>447</v>
      </c>
      <c r="L195" s="15">
        <v>68000000</v>
      </c>
      <c r="M195" s="18">
        <v>2002</v>
      </c>
      <c r="N195" s="17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</row>
    <row r="196" spans="1:67" s="3" customFormat="1" x14ac:dyDescent="0.2">
      <c r="A196" s="14" t="s">
        <v>2986</v>
      </c>
      <c r="B196" s="14" t="s">
        <v>18</v>
      </c>
      <c r="C196" s="14">
        <v>2025</v>
      </c>
      <c r="D196" s="14" t="str">
        <f t="array" ref="D196">_xlfn.SWITCH(E196,"Bagor","35.18.14","Sukomoro",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6" s="13" t="s">
        <v>119</v>
      </c>
      <c r="F196" s="14" t="s">
        <v>118</v>
      </c>
      <c r="G196" s="14" t="s">
        <v>178</v>
      </c>
      <c r="H196" s="13" t="s">
        <v>20</v>
      </c>
      <c r="I196" s="14" t="s">
        <v>61</v>
      </c>
      <c r="J196" s="28" t="s">
        <v>448</v>
      </c>
      <c r="K196" s="13" t="s">
        <v>447</v>
      </c>
      <c r="L196" s="15">
        <v>72530000</v>
      </c>
      <c r="M196" s="18">
        <v>2002</v>
      </c>
      <c r="N196" s="17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</row>
    <row r="197" spans="1:67" s="3" customFormat="1" x14ac:dyDescent="0.2">
      <c r="A197" s="14" t="s">
        <v>2986</v>
      </c>
      <c r="B197" s="14" t="s">
        <v>18</v>
      </c>
      <c r="C197" s="14">
        <v>2025</v>
      </c>
      <c r="D197" s="14" t="str">
        <f t="array" ref="D197">_xlfn.SWITCH(E197,"Bagor","35.18.14","Sukomoro",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7" s="13" t="s">
        <v>119</v>
      </c>
      <c r="F197" s="14" t="s">
        <v>438</v>
      </c>
      <c r="G197" s="14" t="s">
        <v>249</v>
      </c>
      <c r="H197" s="13" t="s">
        <v>20</v>
      </c>
      <c r="I197" s="14" t="s">
        <v>440</v>
      </c>
      <c r="J197" s="28">
        <v>25</v>
      </c>
      <c r="K197" s="13" t="s">
        <v>37</v>
      </c>
      <c r="L197" s="15">
        <v>37590000</v>
      </c>
      <c r="M197" s="18">
        <v>2002</v>
      </c>
      <c r="N197" s="17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</row>
    <row r="198" spans="1:67" s="3" customFormat="1" x14ac:dyDescent="0.2">
      <c r="A198" s="14" t="s">
        <v>2986</v>
      </c>
      <c r="B198" s="14" t="s">
        <v>18</v>
      </c>
      <c r="C198" s="14">
        <v>2025</v>
      </c>
      <c r="D198" s="14" t="str">
        <f t="array" ref="D198">_xlfn.SWITCH(E198,"Bagor","35.18.14","Sukomoro",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8" s="13" t="s">
        <v>119</v>
      </c>
      <c r="F198" s="14" t="s">
        <v>438</v>
      </c>
      <c r="G198" s="14" t="s">
        <v>449</v>
      </c>
      <c r="H198" s="13" t="s">
        <v>9</v>
      </c>
      <c r="I198" s="14" t="s">
        <v>109</v>
      </c>
      <c r="J198" s="28">
        <v>25</v>
      </c>
      <c r="K198" s="13" t="s">
        <v>45</v>
      </c>
      <c r="L198" s="15">
        <v>42750000</v>
      </c>
      <c r="M198" s="18">
        <v>2002</v>
      </c>
      <c r="N198" s="17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</row>
    <row r="199" spans="1:67" s="3" customFormat="1" x14ac:dyDescent="0.2">
      <c r="A199" s="14" t="s">
        <v>2986</v>
      </c>
      <c r="B199" s="14" t="s">
        <v>18</v>
      </c>
      <c r="C199" s="14">
        <v>2025</v>
      </c>
      <c r="D199" s="14" t="str">
        <f t="array" ref="D199">_xlfn.SWITCH(E199,"Bagor","35.18.14","Sukomoro",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9" s="13" t="s">
        <v>119</v>
      </c>
      <c r="F199" s="14" t="s">
        <v>118</v>
      </c>
      <c r="G199" s="14" t="s">
        <v>450</v>
      </c>
      <c r="H199" s="13" t="s">
        <v>9</v>
      </c>
      <c r="I199" s="14" t="s">
        <v>109</v>
      </c>
      <c r="J199" s="28">
        <v>35</v>
      </c>
      <c r="K199" s="13" t="s">
        <v>45</v>
      </c>
      <c r="L199" s="15">
        <v>61250000</v>
      </c>
      <c r="M199" s="18">
        <v>2002</v>
      </c>
      <c r="N199" s="17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</row>
    <row r="200" spans="1:67" s="3" customFormat="1" x14ac:dyDescent="0.2">
      <c r="A200" s="14" t="s">
        <v>2986</v>
      </c>
      <c r="B200" s="14" t="s">
        <v>18</v>
      </c>
      <c r="C200" s="14">
        <v>2025</v>
      </c>
      <c r="D200" s="14" t="str">
        <f t="array" ref="D200">_xlfn.SWITCH(E200,"Bagor","35.18.14","Sukomoro",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0" s="13" t="s">
        <v>119</v>
      </c>
      <c r="F200" s="14" t="s">
        <v>441</v>
      </c>
      <c r="G200" s="14" t="s">
        <v>451</v>
      </c>
      <c r="H200" s="13" t="s">
        <v>9</v>
      </c>
      <c r="I200" s="14" t="s">
        <v>114</v>
      </c>
      <c r="J200" s="28">
        <v>12</v>
      </c>
      <c r="K200" s="13" t="s">
        <v>45</v>
      </c>
      <c r="L200" s="15">
        <v>57600000</v>
      </c>
      <c r="M200" s="18">
        <v>2002</v>
      </c>
      <c r="N200" s="17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</row>
    <row r="201" spans="1:67" s="3" customFormat="1" x14ac:dyDescent="0.2">
      <c r="A201" s="14" t="s">
        <v>2986</v>
      </c>
      <c r="B201" s="14" t="s">
        <v>18</v>
      </c>
      <c r="C201" s="14">
        <v>2025</v>
      </c>
      <c r="D201" s="14" t="str">
        <f t="array" ref="D201">_xlfn.SWITCH(E201,"Bagor","35.18.14","Sukomoro",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1" s="13" t="s">
        <v>119</v>
      </c>
      <c r="F201" s="14" t="s">
        <v>438</v>
      </c>
      <c r="G201" s="14" t="s">
        <v>452</v>
      </c>
      <c r="H201" s="13" t="s">
        <v>9</v>
      </c>
      <c r="I201" s="14" t="s">
        <v>114</v>
      </c>
      <c r="J201" s="28">
        <v>12</v>
      </c>
      <c r="K201" s="13" t="s">
        <v>45</v>
      </c>
      <c r="L201" s="15">
        <v>57600000</v>
      </c>
      <c r="M201" s="18">
        <v>2002</v>
      </c>
      <c r="N201" s="17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</row>
    <row r="202" spans="1:67" s="3" customFormat="1" x14ac:dyDescent="0.2">
      <c r="A202" s="14" t="s">
        <v>2986</v>
      </c>
      <c r="B202" s="14" t="s">
        <v>18</v>
      </c>
      <c r="C202" s="14">
        <v>2025</v>
      </c>
      <c r="D202" s="14" t="str">
        <f t="array" ref="D202">_xlfn.SWITCH(E202,"Bagor","35.18.14","Sukomoro",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2" s="13" t="s">
        <v>119</v>
      </c>
      <c r="F202" s="14" t="s">
        <v>453</v>
      </c>
      <c r="G202" s="14" t="s">
        <v>426</v>
      </c>
      <c r="H202" s="13" t="s">
        <v>20</v>
      </c>
      <c r="I202" s="14" t="s">
        <v>61</v>
      </c>
      <c r="J202" s="28">
        <v>70</v>
      </c>
      <c r="K202" s="13" t="s">
        <v>454</v>
      </c>
      <c r="L202" s="15">
        <v>36200000</v>
      </c>
      <c r="M202" s="18">
        <v>2002</v>
      </c>
      <c r="N202" s="17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</row>
    <row r="203" spans="1:67" s="3" customFormat="1" x14ac:dyDescent="0.2">
      <c r="A203" s="14" t="s">
        <v>2986</v>
      </c>
      <c r="B203" s="14" t="s">
        <v>18</v>
      </c>
      <c r="C203" s="14">
        <v>2025</v>
      </c>
      <c r="D203" s="14" t="str">
        <f t="array" ref="D203">_xlfn.SWITCH(E203,"Bagor","35.18.14","Sukomoro",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3" s="13" t="s">
        <v>119</v>
      </c>
      <c r="F203" s="14" t="s">
        <v>455</v>
      </c>
      <c r="G203" s="14" t="s">
        <v>456</v>
      </c>
      <c r="H203" s="13" t="s">
        <v>20</v>
      </c>
      <c r="I203" s="14" t="s">
        <v>61</v>
      </c>
      <c r="J203" s="28">
        <v>50</v>
      </c>
      <c r="K203" s="13" t="s">
        <v>135</v>
      </c>
      <c r="L203" s="15">
        <v>27000000</v>
      </c>
      <c r="M203" s="18">
        <v>2002</v>
      </c>
      <c r="N203" s="17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</row>
    <row r="204" spans="1:67" s="3" customFormat="1" x14ac:dyDescent="0.2">
      <c r="A204" s="14" t="s">
        <v>2986</v>
      </c>
      <c r="B204" s="14" t="s">
        <v>18</v>
      </c>
      <c r="C204" s="14">
        <v>2025</v>
      </c>
      <c r="D204" s="14" t="str">
        <f t="array" ref="D204">_xlfn.SWITCH(E204,"Jatikalen","35.18.20","Kertosono", "35.18.08","Lengkong","35.18.19","Loceret","35.18.04","Tanjunganom","35.18.11","Wilangan","35.18.15")</f>
        <v>35.18.08</v>
      </c>
      <c r="E204" s="13" t="s">
        <v>75</v>
      </c>
      <c r="F204" s="14" t="s">
        <v>457</v>
      </c>
      <c r="G204" s="14" t="s">
        <v>458</v>
      </c>
      <c r="H204" s="13" t="s">
        <v>9</v>
      </c>
      <c r="I204" s="14" t="s">
        <v>459</v>
      </c>
      <c r="J204" s="27">
        <v>38</v>
      </c>
      <c r="K204" s="13" t="s">
        <v>45</v>
      </c>
      <c r="L204" s="15">
        <v>63700000</v>
      </c>
      <c r="M204" s="18">
        <v>2002</v>
      </c>
      <c r="N204" s="17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</row>
    <row r="205" spans="1:67" s="3" customFormat="1" x14ac:dyDescent="0.2">
      <c r="A205" s="14" t="s">
        <v>2986</v>
      </c>
      <c r="B205" s="14" t="s">
        <v>18</v>
      </c>
      <c r="C205" s="14">
        <v>2025</v>
      </c>
      <c r="D205" s="14" t="str">
        <f t="array" ref="D205">_xlfn.SWITCH(E205,"Jatikalen","35.18.20","Kertosono", "35.18.08","Lengkong","35.18.19","Loceret","35.18.04","Tanjunganom","35.18.11","Wilangan","35.18.15")</f>
        <v>35.18.08</v>
      </c>
      <c r="E205" s="13" t="s">
        <v>75</v>
      </c>
      <c r="F205" s="14" t="s">
        <v>460</v>
      </c>
      <c r="G205" s="14" t="s">
        <v>461</v>
      </c>
      <c r="H205" s="13" t="s">
        <v>9</v>
      </c>
      <c r="I205" s="14" t="s">
        <v>462</v>
      </c>
      <c r="J205" s="27">
        <v>1950</v>
      </c>
      <c r="K205" s="13" t="s">
        <v>217</v>
      </c>
      <c r="L205" s="15">
        <v>23000000</v>
      </c>
      <c r="M205" s="18">
        <v>2002</v>
      </c>
      <c r="N205" s="17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</row>
    <row r="206" spans="1:67" s="3" customFormat="1" x14ac:dyDescent="0.2">
      <c r="A206" s="14" t="s">
        <v>2986</v>
      </c>
      <c r="B206" s="14" t="s">
        <v>18</v>
      </c>
      <c r="C206" s="14">
        <v>2025</v>
      </c>
      <c r="D206" s="14" t="str">
        <f t="array" ref="D206">_xlfn.SWITCH(E206,"Jatikalen","35.18.20","Kertosono", "35.18.08","Lengkong","35.18.19","Loceret","35.18.04","Tanjunganom","35.18.11","Wilangan","35.18.15")</f>
        <v>35.18.08</v>
      </c>
      <c r="E206" s="13" t="s">
        <v>75</v>
      </c>
      <c r="F206" s="14" t="s">
        <v>463</v>
      </c>
      <c r="G206" s="14" t="s">
        <v>464</v>
      </c>
      <c r="H206" s="13" t="s">
        <v>20</v>
      </c>
      <c r="I206" s="14" t="s">
        <v>21</v>
      </c>
      <c r="J206" s="27">
        <v>45</v>
      </c>
      <c r="K206" s="13" t="s">
        <v>135</v>
      </c>
      <c r="L206" s="15">
        <v>16110000</v>
      </c>
      <c r="M206" s="18">
        <v>2002</v>
      </c>
      <c r="N206" s="17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</row>
    <row r="207" spans="1:67" s="3" customFormat="1" x14ac:dyDescent="0.2">
      <c r="A207" s="14" t="s">
        <v>2986</v>
      </c>
      <c r="B207" s="14" t="s">
        <v>18</v>
      </c>
      <c r="C207" s="14">
        <v>2025</v>
      </c>
      <c r="D207" s="14" t="str">
        <f t="array" ref="D207">_xlfn.SWITCH(E207,"Jatikalen","35.18.20","Kertosono", "35.18.08","Lengkong","35.18.19","Loceret","35.18.04","Tanjunganom","35.18.11","Wilangan","35.18.15")</f>
        <v>35.18.08</v>
      </c>
      <c r="E207" s="13" t="s">
        <v>75</v>
      </c>
      <c r="F207" s="14" t="s">
        <v>465</v>
      </c>
      <c r="G207" s="14" t="s">
        <v>466</v>
      </c>
      <c r="H207" s="13" t="s">
        <v>20</v>
      </c>
      <c r="I207" s="14" t="s">
        <v>269</v>
      </c>
      <c r="J207" s="27">
        <v>300</v>
      </c>
      <c r="K207" s="13" t="s">
        <v>217</v>
      </c>
      <c r="L207" s="15">
        <v>4700000</v>
      </c>
      <c r="M207" s="18">
        <v>2002</v>
      </c>
      <c r="N207" s="17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</row>
    <row r="208" spans="1:67" s="3" customFormat="1" x14ac:dyDescent="0.2">
      <c r="A208" s="14" t="s">
        <v>2986</v>
      </c>
      <c r="B208" s="14" t="s">
        <v>18</v>
      </c>
      <c r="C208" s="14">
        <v>2025</v>
      </c>
      <c r="D208" s="14" t="str">
        <f t="array" ref="D208">_xlfn.SWITCH(E208,"Jatikalen","35.18.20","Kertosono", "35.18.08","Lengkong","35.18.19","Loceret","35.18.04","Tanjunganom","35.18.11","Wilangan","35.18.15")</f>
        <v>35.18.08</v>
      </c>
      <c r="E208" s="13" t="s">
        <v>75</v>
      </c>
      <c r="F208" s="14" t="s">
        <v>467</v>
      </c>
      <c r="G208" s="14" t="s">
        <v>468</v>
      </c>
      <c r="H208" s="13" t="s">
        <v>20</v>
      </c>
      <c r="I208" s="14" t="s">
        <v>114</v>
      </c>
      <c r="J208" s="27" t="s">
        <v>469</v>
      </c>
      <c r="K208" s="13" t="s">
        <v>45</v>
      </c>
      <c r="L208" s="15">
        <v>34500000</v>
      </c>
      <c r="M208" s="18">
        <v>2002</v>
      </c>
      <c r="N208" s="17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</row>
    <row r="209" spans="1:67" s="3" customFormat="1" x14ac:dyDescent="0.2">
      <c r="A209" s="14" t="s">
        <v>2986</v>
      </c>
      <c r="B209" s="14" t="s">
        <v>18</v>
      </c>
      <c r="C209" s="14">
        <v>2025</v>
      </c>
      <c r="D209" s="14" t="str">
        <f t="array" ref="D209">_xlfn.SWITCH(E209,"Jatikalen","35.18.20","Kertosono", "35.18.08","Lengkong","35.18.19","Loceret","35.18.04","Tanjunganom","35.18.11","Wilangan","35.18.15")</f>
        <v>35.18.08</v>
      </c>
      <c r="E209" s="13" t="s">
        <v>75</v>
      </c>
      <c r="F209" s="14" t="s">
        <v>470</v>
      </c>
      <c r="G209" s="14" t="s">
        <v>471</v>
      </c>
      <c r="H209" s="13" t="s">
        <v>20</v>
      </c>
      <c r="I209" s="14" t="s">
        <v>114</v>
      </c>
      <c r="J209" s="27" t="s">
        <v>472</v>
      </c>
      <c r="K209" s="13" t="s">
        <v>45</v>
      </c>
      <c r="L209" s="15">
        <v>23125000</v>
      </c>
      <c r="M209" s="18">
        <v>2002</v>
      </c>
      <c r="N209" s="17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</row>
    <row r="210" spans="1:67" s="3" customFormat="1" x14ac:dyDescent="0.2">
      <c r="A210" s="14" t="s">
        <v>2986</v>
      </c>
      <c r="B210" s="14" t="s">
        <v>18</v>
      </c>
      <c r="C210" s="14">
        <v>2025</v>
      </c>
      <c r="D210" s="14" t="str">
        <f t="array" ref="D210">_xlfn.SWITCH(E210,"Jatikalen","35.18.20","Kertosono", "35.18.08","Lengkong","35.18.19","Loceret","35.18.04","Tanjunganom","35.18.11","Wilangan","35.18.15")</f>
        <v>35.18.08</v>
      </c>
      <c r="E210" s="13" t="s">
        <v>75</v>
      </c>
      <c r="F210" s="14" t="s">
        <v>197</v>
      </c>
      <c r="G210" s="14" t="s">
        <v>473</v>
      </c>
      <c r="H210" s="13" t="s">
        <v>9</v>
      </c>
      <c r="I210" s="14" t="s">
        <v>427</v>
      </c>
      <c r="J210" s="27">
        <v>30</v>
      </c>
      <c r="K210" s="13" t="s">
        <v>37</v>
      </c>
      <c r="L210" s="15">
        <v>39800000</v>
      </c>
      <c r="M210" s="18">
        <v>2002</v>
      </c>
      <c r="N210" s="17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</row>
    <row r="211" spans="1:67" s="3" customFormat="1" x14ac:dyDescent="0.2">
      <c r="A211" s="14" t="s">
        <v>2986</v>
      </c>
      <c r="B211" s="14" t="s">
        <v>18</v>
      </c>
      <c r="C211" s="14">
        <v>2025</v>
      </c>
      <c r="D211" s="14" t="str">
        <f t="array" ref="D211">_xlfn.SWITCH(E211,"Jatikalen","35.18.20","Kertosono", "35.18.08","Lengkong","35.18.19","Loceret","35.18.04","Tanjunganom","35.18.11","Wilangan","35.18.15")</f>
        <v>35.18.08</v>
      </c>
      <c r="E211" s="13" t="s">
        <v>75</v>
      </c>
      <c r="F211" s="14" t="s">
        <v>474</v>
      </c>
      <c r="G211" s="14" t="s">
        <v>475</v>
      </c>
      <c r="H211" s="13" t="s">
        <v>20</v>
      </c>
      <c r="I211" s="14" t="s">
        <v>476</v>
      </c>
      <c r="J211" s="27">
        <v>200000</v>
      </c>
      <c r="K211" s="13" t="s">
        <v>22</v>
      </c>
      <c r="L211" s="15">
        <v>525000000</v>
      </c>
      <c r="M211" s="18">
        <v>2002</v>
      </c>
      <c r="N211" s="17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</row>
    <row r="212" spans="1:67" s="3" customFormat="1" x14ac:dyDescent="0.2">
      <c r="A212" s="14" t="s">
        <v>2986</v>
      </c>
      <c r="B212" s="14" t="s">
        <v>18</v>
      </c>
      <c r="C212" s="14">
        <v>2025</v>
      </c>
      <c r="D212" s="14" t="str">
        <f t="array" ref="D212">_xlfn.SWITCH(E212,"Jatikalen","35.18.20","Kertosono", "35.18.08","Lengkong","35.18.19","Loceret","35.18.04","Tanjunganom","35.18.11","Wilangan","35.18.15")</f>
        <v>35.18.08</v>
      </c>
      <c r="E212" s="13" t="s">
        <v>75</v>
      </c>
      <c r="F212" s="14" t="s">
        <v>477</v>
      </c>
      <c r="G212" s="14" t="s">
        <v>478</v>
      </c>
      <c r="H212" s="13" t="s">
        <v>9</v>
      </c>
      <c r="I212" s="14" t="s">
        <v>295</v>
      </c>
      <c r="J212" s="27">
        <v>1750</v>
      </c>
      <c r="K212" s="13" t="s">
        <v>319</v>
      </c>
      <c r="L212" s="15">
        <v>262500000</v>
      </c>
      <c r="M212" s="18">
        <v>2002</v>
      </c>
      <c r="N212" s="17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</row>
    <row r="213" spans="1:67" s="3" customFormat="1" x14ac:dyDescent="0.2">
      <c r="A213" s="14" t="s">
        <v>2986</v>
      </c>
      <c r="B213" s="14" t="s">
        <v>18</v>
      </c>
      <c r="C213" s="14">
        <v>2025</v>
      </c>
      <c r="D213" s="14" t="str">
        <f t="array" ref="D213">_xlfn.SWITCH(E213,"Jatikalen","35.18.20","Kertosono", "35.18.08","Lengkong","35.18.19","Loceret","35.18.04","Tanjunganom","35.18.11","Wilangan","35.18.15")</f>
        <v>35.18.08</v>
      </c>
      <c r="E213" s="13" t="s">
        <v>75</v>
      </c>
      <c r="F213" s="14" t="s">
        <v>479</v>
      </c>
      <c r="G213" s="14" t="s">
        <v>480</v>
      </c>
      <c r="H213" s="13" t="s">
        <v>9</v>
      </c>
      <c r="I213" s="14" t="s">
        <v>295</v>
      </c>
      <c r="J213" s="27">
        <v>1400</v>
      </c>
      <c r="K213" s="13" t="s">
        <v>319</v>
      </c>
      <c r="L213" s="15">
        <v>203000000</v>
      </c>
      <c r="M213" s="18">
        <v>2002</v>
      </c>
      <c r="N213" s="17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</row>
    <row r="214" spans="1:67" s="3" customFormat="1" x14ac:dyDescent="0.2">
      <c r="A214" s="14" t="s">
        <v>2986</v>
      </c>
      <c r="B214" s="14" t="s">
        <v>18</v>
      </c>
      <c r="C214" s="14">
        <v>2025</v>
      </c>
      <c r="D214" s="14" t="str">
        <f t="array" ref="D214">_xlfn.SWITCH(E214,"Jatikalen","35.18.20","Kertosono", "35.18.08","Lengkong","35.18.19","Loceret","35.18.04","Tanjunganom","35.18.11","Wilangan","35.18.15")</f>
        <v>35.18.08</v>
      </c>
      <c r="E214" s="13" t="s">
        <v>75</v>
      </c>
      <c r="F214" s="14" t="s">
        <v>481</v>
      </c>
      <c r="G214" s="14" t="s">
        <v>482</v>
      </c>
      <c r="H214" s="13" t="s">
        <v>9</v>
      </c>
      <c r="I214" s="14" t="s">
        <v>295</v>
      </c>
      <c r="J214" s="27">
        <v>1600</v>
      </c>
      <c r="K214" s="13" t="s">
        <v>319</v>
      </c>
      <c r="L214" s="15">
        <v>248000000</v>
      </c>
      <c r="M214" s="18">
        <v>2002</v>
      </c>
      <c r="N214" s="17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</row>
    <row r="215" spans="1:67" s="3" customFormat="1" ht="20" x14ac:dyDescent="0.2">
      <c r="A215" s="14" t="s">
        <v>2986</v>
      </c>
      <c r="B215" s="14" t="s">
        <v>18</v>
      </c>
      <c r="C215" s="14">
        <v>2025</v>
      </c>
      <c r="D215" s="14" t="str">
        <f t="array" ref="D215">_xlfn.SWITCH(E215,"Jatikalen","35.18.20","Kertosono", "35.18.08","Lengkong","35.18.19","Loceret","35.18.04","Tanjunganom","35.18.11","Wilangan","35.18.15")</f>
        <v>35.18.08</v>
      </c>
      <c r="E215" s="13" t="s">
        <v>75</v>
      </c>
      <c r="F215" s="14" t="s">
        <v>483</v>
      </c>
      <c r="G215" s="14" t="s">
        <v>484</v>
      </c>
      <c r="H215" s="13" t="s">
        <v>20</v>
      </c>
      <c r="I215" s="14" t="s">
        <v>485</v>
      </c>
      <c r="J215" s="27">
        <v>240</v>
      </c>
      <c r="K215" s="13" t="s">
        <v>45</v>
      </c>
      <c r="L215" s="15">
        <v>67700000</v>
      </c>
      <c r="M215" s="16">
        <v>39794</v>
      </c>
      <c r="N215" s="17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</row>
    <row r="216" spans="1:67" s="3" customFormat="1" x14ac:dyDescent="0.2">
      <c r="A216" s="14" t="s">
        <v>2986</v>
      </c>
      <c r="B216" s="14" t="s">
        <v>18</v>
      </c>
      <c r="C216" s="14">
        <v>2025</v>
      </c>
      <c r="D216" s="14" t="str">
        <f t="array" ref="D216">_xlfn.SWITCH(E216,"Jatikalen","35.18.20","Kertosono", "35.18.08","Lengkong","35.18.19","Loceret","35.18.04","Tanjunganom","35.18.11","Wilangan","35.18.15")</f>
        <v>35.18.08</v>
      </c>
      <c r="E216" s="13" t="s">
        <v>75</v>
      </c>
      <c r="F216" s="14" t="s">
        <v>486</v>
      </c>
      <c r="G216" s="14" t="s">
        <v>426</v>
      </c>
      <c r="H216" s="13" t="s">
        <v>9</v>
      </c>
      <c r="I216" s="14" t="s">
        <v>109</v>
      </c>
      <c r="J216" s="27">
        <v>38</v>
      </c>
      <c r="K216" s="13" t="s">
        <v>45</v>
      </c>
      <c r="L216" s="15">
        <v>63700000</v>
      </c>
      <c r="M216" s="18">
        <v>2002</v>
      </c>
      <c r="N216" s="17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</row>
    <row r="217" spans="1:67" s="3" customFormat="1" x14ac:dyDescent="0.2">
      <c r="A217" s="14" t="s">
        <v>2986</v>
      </c>
      <c r="B217" s="14" t="s">
        <v>18</v>
      </c>
      <c r="C217" s="14">
        <v>2025</v>
      </c>
      <c r="D217" s="14" t="str">
        <f t="array" ref="D217">_xlfn.SWITCH(E217,"Jatikalen","35.18.20","Kertosono", "35.18.08","Lengkong","35.18.19","Loceret","35.18.04","Tanjunganom","35.18.11","Wilangan","35.18.15")</f>
        <v>35.18.08</v>
      </c>
      <c r="E217" s="13" t="s">
        <v>75</v>
      </c>
      <c r="F217" s="14" t="s">
        <v>460</v>
      </c>
      <c r="G217" s="14" t="s">
        <v>487</v>
      </c>
      <c r="H217" s="13" t="s">
        <v>9</v>
      </c>
      <c r="I217" s="14" t="s">
        <v>109</v>
      </c>
      <c r="J217" s="27">
        <v>38</v>
      </c>
      <c r="K217" s="13" t="s">
        <v>45</v>
      </c>
      <c r="L217" s="15">
        <v>65700000</v>
      </c>
      <c r="M217" s="18">
        <v>2002</v>
      </c>
      <c r="N217" s="1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</row>
    <row r="218" spans="1:67" s="3" customFormat="1" x14ac:dyDescent="0.2">
      <c r="A218" s="14" t="s">
        <v>2986</v>
      </c>
      <c r="B218" s="14" t="s">
        <v>18</v>
      </c>
      <c r="C218" s="14">
        <v>2025</v>
      </c>
      <c r="D218" s="14" t="str">
        <f t="array" ref="D218">_xlfn.SWITCH(E218,"Jatikalen","35.18.20","Kertosono", "35.18.08","Lengkong","35.18.19","Loceret","35.18.04","Tanjunganom","35.18.11","Wilangan","35.18.15")</f>
        <v>35.18.08</v>
      </c>
      <c r="E218" s="13" t="s">
        <v>75</v>
      </c>
      <c r="F218" s="14" t="s">
        <v>460</v>
      </c>
      <c r="G218" s="14" t="s">
        <v>426</v>
      </c>
      <c r="H218" s="13" t="s">
        <v>9</v>
      </c>
      <c r="I218" s="14" t="s">
        <v>109</v>
      </c>
      <c r="J218" s="27">
        <v>77</v>
      </c>
      <c r="K218" s="13" t="s">
        <v>45</v>
      </c>
      <c r="L218" s="15">
        <v>118550000</v>
      </c>
      <c r="M218" s="18">
        <v>2002</v>
      </c>
      <c r="N218" s="17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</row>
    <row r="219" spans="1:67" s="3" customFormat="1" x14ac:dyDescent="0.2">
      <c r="A219" s="14" t="s">
        <v>2986</v>
      </c>
      <c r="B219" s="14" t="s">
        <v>18</v>
      </c>
      <c r="C219" s="14">
        <v>2025</v>
      </c>
      <c r="D219" s="14" t="str">
        <f t="array" ref="D219">_xlfn.SWITCH(E219,"Jatikalen","35.18.20","Kertosono", "35.18.08","Lengkong","35.18.19","Loceret","35.18.04","Tanjunganom","35.18.11","Wilangan","35.18.15")</f>
        <v>35.18.08</v>
      </c>
      <c r="E219" s="13" t="s">
        <v>75</v>
      </c>
      <c r="F219" s="25" t="s">
        <v>486</v>
      </c>
      <c r="G219" s="14" t="s">
        <v>488</v>
      </c>
      <c r="H219" s="13" t="s">
        <v>9</v>
      </c>
      <c r="I219" s="14" t="s">
        <v>109</v>
      </c>
      <c r="J219" s="27">
        <v>115</v>
      </c>
      <c r="K219" s="13" t="s">
        <v>45</v>
      </c>
      <c r="L219" s="15">
        <v>272250000</v>
      </c>
      <c r="M219" s="18">
        <v>2002</v>
      </c>
      <c r="N219" s="17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</row>
    <row r="220" spans="1:67" s="3" customFormat="1" x14ac:dyDescent="0.2">
      <c r="A220" s="14" t="s">
        <v>2986</v>
      </c>
      <c r="B220" s="14" t="s">
        <v>18</v>
      </c>
      <c r="C220" s="14">
        <v>2025</v>
      </c>
      <c r="D220" s="14" t="str">
        <f t="array" ref="D220">_xlfn.SWITCH(E220,"Jatikalen","35.18.20","Kertosono", "35.18.08","Lengkong","35.18.19","Loceret","35.18.04","Tanjunganom","35.18.11","Wilangan","35.18.15")</f>
        <v>35.18.08</v>
      </c>
      <c r="E220" s="13" t="s">
        <v>75</v>
      </c>
      <c r="F220" s="14" t="s">
        <v>489</v>
      </c>
      <c r="G220" s="14" t="s">
        <v>490</v>
      </c>
      <c r="H220" s="13" t="s">
        <v>9</v>
      </c>
      <c r="I220" s="14" t="s">
        <v>491</v>
      </c>
      <c r="J220" s="27">
        <v>4000</v>
      </c>
      <c r="K220" s="13" t="s">
        <v>361</v>
      </c>
      <c r="L220" s="15">
        <v>182000000</v>
      </c>
      <c r="M220" s="18">
        <v>2002</v>
      </c>
      <c r="N220" s="17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</row>
    <row r="221" spans="1:67" s="3" customFormat="1" x14ac:dyDescent="0.2">
      <c r="A221" s="14" t="s">
        <v>2986</v>
      </c>
      <c r="B221" s="14" t="s">
        <v>18</v>
      </c>
      <c r="C221" s="14">
        <v>2025</v>
      </c>
      <c r="D221" s="14" t="str">
        <f t="array" ref="D221">_xlfn.SWITCH(E221,"Jatikalen","35.18.20","Kertosono", "35.18.08","Lengkong","35.18.19","Loceret","35.18.04","Tanjunganom","35.18.11","Wilangan","35.18.15")</f>
        <v>35.18.08</v>
      </c>
      <c r="E221" s="13" t="s">
        <v>75</v>
      </c>
      <c r="F221" s="14" t="s">
        <v>492</v>
      </c>
      <c r="G221" s="14" t="s">
        <v>426</v>
      </c>
      <c r="H221" s="13" t="s">
        <v>20</v>
      </c>
      <c r="I221" s="14" t="s">
        <v>147</v>
      </c>
      <c r="J221" s="27" t="s">
        <v>493</v>
      </c>
      <c r="K221" s="13" t="s">
        <v>494</v>
      </c>
      <c r="L221" s="15">
        <v>42000000</v>
      </c>
      <c r="M221" s="18">
        <v>2002</v>
      </c>
      <c r="N221" s="17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</row>
    <row r="222" spans="1:67" s="3" customFormat="1" x14ac:dyDescent="0.2">
      <c r="A222" s="14" t="s">
        <v>2986</v>
      </c>
      <c r="B222" s="14" t="s">
        <v>18</v>
      </c>
      <c r="C222" s="14">
        <v>2025</v>
      </c>
      <c r="D222" s="14" t="str">
        <f t="array" ref="D222">_xlfn.SWITCH(E222,"Jatikalen","35.18.20","Kertosono", "35.18.08","Lengkong","35.18.19","Loceret","35.18.04","Tanjunganom","35.18.11","Wilangan","35.18.15")</f>
        <v>35.18.08</v>
      </c>
      <c r="E222" s="13" t="s">
        <v>75</v>
      </c>
      <c r="F222" s="14" t="s">
        <v>495</v>
      </c>
      <c r="G222" s="14" t="s">
        <v>496</v>
      </c>
      <c r="H222" s="13" t="s">
        <v>20</v>
      </c>
      <c r="I222" s="14" t="s">
        <v>147</v>
      </c>
      <c r="J222" s="27" t="s">
        <v>497</v>
      </c>
      <c r="K222" s="13" t="s">
        <v>494</v>
      </c>
      <c r="L222" s="15">
        <v>6300000</v>
      </c>
      <c r="M222" s="18">
        <v>2002</v>
      </c>
      <c r="N222" s="17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</row>
    <row r="223" spans="1:67" s="3" customFormat="1" x14ac:dyDescent="0.2">
      <c r="A223" s="14" t="s">
        <v>2986</v>
      </c>
      <c r="B223" s="14" t="s">
        <v>18</v>
      </c>
      <c r="C223" s="14">
        <v>2025</v>
      </c>
      <c r="D223" s="14" t="str">
        <f t="array" ref="D223">_xlfn.SWITCH(E223,"Jatikalen","35.18.20","Kertosono", "35.18.08","Lengkong","35.18.19","Loceret","35.18.04","Tanjunganom","35.18.11","Wilangan","35.18.15")</f>
        <v>35.18.08</v>
      </c>
      <c r="E223" s="13" t="s">
        <v>75</v>
      </c>
      <c r="F223" s="14" t="s">
        <v>498</v>
      </c>
      <c r="G223" s="14" t="s">
        <v>499</v>
      </c>
      <c r="H223" s="13" t="s">
        <v>20</v>
      </c>
      <c r="I223" s="14" t="s">
        <v>500</v>
      </c>
      <c r="J223" s="27">
        <v>13250</v>
      </c>
      <c r="K223" s="13" t="s">
        <v>246</v>
      </c>
      <c r="L223" s="15">
        <v>9275000</v>
      </c>
      <c r="M223" s="18">
        <v>2002</v>
      </c>
      <c r="N223" s="17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</row>
    <row r="224" spans="1:67" s="3" customFormat="1" x14ac:dyDescent="0.2">
      <c r="A224" s="14" t="s">
        <v>2986</v>
      </c>
      <c r="B224" s="14" t="s">
        <v>18</v>
      </c>
      <c r="C224" s="14">
        <v>2025</v>
      </c>
      <c r="D224" s="14" t="str">
        <f t="array" ref="D224">_xlfn.SWITCH(E224,"Jatikalen","35.18.20","Kertosono", "35.18.08","Lengkong","35.18.19","Loceret","35.18.04","Tanjunganom","35.18.11","Wilangan","35.18.15")</f>
        <v>35.18.08</v>
      </c>
      <c r="E224" s="13" t="s">
        <v>75</v>
      </c>
      <c r="F224" s="14" t="s">
        <v>501</v>
      </c>
      <c r="G224" s="14" t="s">
        <v>502</v>
      </c>
      <c r="H224" s="13" t="s">
        <v>20</v>
      </c>
      <c r="I224" s="14" t="s">
        <v>491</v>
      </c>
      <c r="J224" s="27">
        <v>4000</v>
      </c>
      <c r="K224" s="13" t="s">
        <v>361</v>
      </c>
      <c r="L224" s="15">
        <v>182000000</v>
      </c>
      <c r="M224" s="18">
        <v>2002</v>
      </c>
      <c r="N224" s="17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</row>
    <row r="225" spans="1:67" s="3" customFormat="1" x14ac:dyDescent="0.2">
      <c r="A225" s="14" t="s">
        <v>2986</v>
      </c>
      <c r="B225" s="14" t="s">
        <v>18</v>
      </c>
      <c r="C225" s="14">
        <v>2025</v>
      </c>
      <c r="D225" s="14" t="str">
        <f t="array" ref="D225">_xlfn.SWITCH(E225,"Jatikalen","35.18.20","Kertosono", "35.18.08","Lengkong","35.18.19","Loceret","35.18.04","Tanjunganom","35.18.11","Wilangan","35.18.15")</f>
        <v>35.18.08</v>
      </c>
      <c r="E225" s="13" t="s">
        <v>75</v>
      </c>
      <c r="F225" s="14" t="s">
        <v>460</v>
      </c>
      <c r="G225" s="14" t="s">
        <v>426</v>
      </c>
      <c r="H225" s="13" t="s">
        <v>9</v>
      </c>
      <c r="I225" s="14" t="s">
        <v>503</v>
      </c>
      <c r="J225" s="27">
        <v>595</v>
      </c>
      <c r="K225" s="13" t="s">
        <v>22</v>
      </c>
      <c r="L225" s="15">
        <v>16200000</v>
      </c>
      <c r="M225" s="18">
        <v>2002</v>
      </c>
      <c r="N225" s="17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</row>
    <row r="226" spans="1:67" s="3" customFormat="1" x14ac:dyDescent="0.2">
      <c r="A226" s="14" t="s">
        <v>2986</v>
      </c>
      <c r="B226" s="14" t="s">
        <v>18</v>
      </c>
      <c r="C226" s="14">
        <v>2025</v>
      </c>
      <c r="D226" s="14" t="str">
        <f t="array" ref="D226">_xlfn.SWITCH(E226,"Jatikalen","35.18.20","Kertosono", "35.18.08","Lengkong","35.18.19","Loceret","35.18.04","Tanjunganom","35.18.11","Wilangan","35.18.15")</f>
        <v>35.18.08</v>
      </c>
      <c r="E226" s="13" t="s">
        <v>75</v>
      </c>
      <c r="F226" s="14" t="s">
        <v>504</v>
      </c>
      <c r="G226" s="14" t="s">
        <v>505</v>
      </c>
      <c r="H226" s="13" t="s">
        <v>9</v>
      </c>
      <c r="I226" s="14" t="s">
        <v>411</v>
      </c>
      <c r="J226" s="27">
        <v>895</v>
      </c>
      <c r="K226" s="13" t="s">
        <v>22</v>
      </c>
      <c r="L226" s="15">
        <v>24300000</v>
      </c>
      <c r="M226" s="18">
        <v>2002</v>
      </c>
      <c r="N226" s="17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</row>
    <row r="227" spans="1:67" s="3" customFormat="1" x14ac:dyDescent="0.2">
      <c r="A227" s="14" t="s">
        <v>2986</v>
      </c>
      <c r="B227" s="14" t="s">
        <v>18</v>
      </c>
      <c r="C227" s="14">
        <v>2025</v>
      </c>
      <c r="D227" s="14" t="str">
        <f t="array" ref="D227">_xlfn.SWITCH(E227,"Jatikalen","35.18.20","Kertosono", "35.18.08","Lengkong","35.18.19","Loceret","35.18.04","Tanjunganom","35.18.11","Wilangan","35.18.15")</f>
        <v>35.18.08</v>
      </c>
      <c r="E227" s="13" t="s">
        <v>75</v>
      </c>
      <c r="F227" s="14" t="s">
        <v>506</v>
      </c>
      <c r="G227" s="14" t="s">
        <v>507</v>
      </c>
      <c r="H227" s="13" t="s">
        <v>20</v>
      </c>
      <c r="I227" s="14" t="s">
        <v>508</v>
      </c>
      <c r="J227" s="27" t="s">
        <v>509</v>
      </c>
      <c r="K227" s="13" t="s">
        <v>494</v>
      </c>
      <c r="L227" s="15">
        <v>10000000</v>
      </c>
      <c r="M227" s="18">
        <v>2002</v>
      </c>
      <c r="N227" s="17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</row>
    <row r="228" spans="1:67" s="3" customFormat="1" x14ac:dyDescent="0.2">
      <c r="A228" s="14" t="s">
        <v>2986</v>
      </c>
      <c r="B228" s="14" t="s">
        <v>18</v>
      </c>
      <c r="C228" s="14">
        <v>2025</v>
      </c>
      <c r="D228" s="14" t="str">
        <f t="array" ref="D228">_xlfn.SWITCH(E228,"Jatikalen","35.18.20","Kertosono", "35.18.08","Lengkong","35.18.19","Loceret","35.18.04","Tanjunganom","35.18.11","Wilangan","35.18.15")</f>
        <v>35.18.08</v>
      </c>
      <c r="E228" s="13" t="s">
        <v>75</v>
      </c>
      <c r="F228" s="14" t="s">
        <v>510</v>
      </c>
      <c r="G228" s="14" t="s">
        <v>511</v>
      </c>
      <c r="H228" s="13" t="s">
        <v>9</v>
      </c>
      <c r="I228" s="14" t="s">
        <v>109</v>
      </c>
      <c r="J228" s="27">
        <v>36</v>
      </c>
      <c r="K228" s="13" t="s">
        <v>45</v>
      </c>
      <c r="L228" s="15">
        <v>61800000</v>
      </c>
      <c r="M228" s="18">
        <v>2002</v>
      </c>
      <c r="N228" s="17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</row>
    <row r="229" spans="1:67" s="3" customFormat="1" x14ac:dyDescent="0.2">
      <c r="A229" s="14" t="s">
        <v>2986</v>
      </c>
      <c r="B229" s="14" t="s">
        <v>18</v>
      </c>
      <c r="C229" s="14">
        <v>2025</v>
      </c>
      <c r="D229" s="14" t="str">
        <f t="array" ref="D229">_xlfn.SWITCH(E229,"Jatikalen","35.18.20","Kertosono", "35.18.08","Lengkong","35.18.19","Loceret","35.18.04","Tanjunganom","35.18.11","Wilangan","35.18.15")</f>
        <v>35.18.19</v>
      </c>
      <c r="E229" s="13" t="s">
        <v>30</v>
      </c>
      <c r="F229" s="14" t="s">
        <v>259</v>
      </c>
      <c r="G229" s="14" t="s">
        <v>512</v>
      </c>
      <c r="H229" s="13" t="s">
        <v>9</v>
      </c>
      <c r="I229" s="14" t="s">
        <v>397</v>
      </c>
      <c r="J229" s="28">
        <v>40</v>
      </c>
      <c r="K229" s="13" t="s">
        <v>45</v>
      </c>
      <c r="L229" s="15">
        <v>130000000</v>
      </c>
      <c r="M229" s="16"/>
      <c r="N229" s="17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</row>
    <row r="230" spans="1:67" s="3" customFormat="1" x14ac:dyDescent="0.2">
      <c r="A230" s="14" t="s">
        <v>2986</v>
      </c>
      <c r="B230" s="14" t="s">
        <v>18</v>
      </c>
      <c r="C230" s="14">
        <v>2025</v>
      </c>
      <c r="D230" s="14" t="str">
        <f t="array" ref="D230">_xlfn.SWITCH(E230,"Jatikalen","35.18.20","Kertosono", "35.18.08","Lengkong","35.18.19","Loceret","35.18.04","Tanjunganom","35.18.11","Wilangan","35.18.15")</f>
        <v>35.18.19</v>
      </c>
      <c r="E230" s="13" t="s">
        <v>30</v>
      </c>
      <c r="F230" s="14" t="s">
        <v>513</v>
      </c>
      <c r="G230" s="14" t="s">
        <v>514</v>
      </c>
      <c r="H230" s="13" t="s">
        <v>9</v>
      </c>
      <c r="I230" s="14" t="s">
        <v>397</v>
      </c>
      <c r="J230" s="28">
        <v>18</v>
      </c>
      <c r="K230" s="13" t="s">
        <v>45</v>
      </c>
      <c r="L230" s="15">
        <v>64000000</v>
      </c>
      <c r="M230" s="16"/>
      <c r="N230" s="17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</row>
    <row r="231" spans="1:67" s="3" customFormat="1" x14ac:dyDescent="0.2">
      <c r="A231" s="14" t="s">
        <v>2986</v>
      </c>
      <c r="B231" s="14" t="s">
        <v>18</v>
      </c>
      <c r="C231" s="14">
        <v>2025</v>
      </c>
      <c r="D231" s="14" t="str">
        <f t="array" ref="D231">_xlfn.SWITCH(E231,"Jatikalen","35.18.20","Kertosono", "35.18.08","Lengkong","35.18.19","Loceret","35.18.04","Tanjunganom","35.18.11","Wilangan","35.18.15")</f>
        <v>35.18.19</v>
      </c>
      <c r="E231" s="13" t="s">
        <v>30</v>
      </c>
      <c r="F231" s="14" t="s">
        <v>515</v>
      </c>
      <c r="G231" s="14" t="s">
        <v>516</v>
      </c>
      <c r="H231" s="13" t="s">
        <v>9</v>
      </c>
      <c r="I231" s="14" t="s">
        <v>397</v>
      </c>
      <c r="J231" s="28">
        <v>14</v>
      </c>
      <c r="K231" s="13" t="s">
        <v>45</v>
      </c>
      <c r="L231" s="15">
        <v>49000000</v>
      </c>
      <c r="M231" s="16"/>
      <c r="N231" s="17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</row>
    <row r="232" spans="1:67" s="3" customFormat="1" x14ac:dyDescent="0.2">
      <c r="A232" s="14" t="s">
        <v>2986</v>
      </c>
      <c r="B232" s="14" t="s">
        <v>18</v>
      </c>
      <c r="C232" s="14">
        <v>2025</v>
      </c>
      <c r="D232" s="14" t="str">
        <f t="array" ref="D232">_xlfn.SWITCH(E232,"Jatikalen","35.18.20","Kertosono", "35.18.08","Lengkong","35.18.19","Loceret","35.18.04","Tanjunganom","35.18.11","Wilangan","35.18.15")</f>
        <v>35.18.19</v>
      </c>
      <c r="E232" s="13" t="s">
        <v>30</v>
      </c>
      <c r="F232" s="14" t="s">
        <v>517</v>
      </c>
      <c r="G232" s="14" t="s">
        <v>518</v>
      </c>
      <c r="H232" s="13" t="s">
        <v>9</v>
      </c>
      <c r="I232" s="14" t="s">
        <v>397</v>
      </c>
      <c r="J232" s="28" t="s">
        <v>519</v>
      </c>
      <c r="K232" s="13" t="s">
        <v>45</v>
      </c>
      <c r="L232" s="15">
        <v>70500000</v>
      </c>
      <c r="M232" s="16"/>
      <c r="N232" s="17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</row>
    <row r="233" spans="1:67" s="3" customFormat="1" x14ac:dyDescent="0.2">
      <c r="A233" s="14" t="s">
        <v>2986</v>
      </c>
      <c r="B233" s="14" t="s">
        <v>18</v>
      </c>
      <c r="C233" s="14">
        <v>2025</v>
      </c>
      <c r="D233" s="14" t="str">
        <f t="array" ref="D233">_xlfn.SWITCH(E233,"Jatikalen","35.18.20","Kertosono", "35.18.08","Lengkong","35.18.19","Loceret","35.18.04","Tanjunganom","35.18.11","Wilangan","35.18.15")</f>
        <v>35.18.19</v>
      </c>
      <c r="E233" s="13" t="s">
        <v>30</v>
      </c>
      <c r="F233" s="14" t="s">
        <v>29</v>
      </c>
      <c r="G233" s="14" t="s">
        <v>520</v>
      </c>
      <c r="H233" s="13" t="s">
        <v>9</v>
      </c>
      <c r="I233" s="14" t="s">
        <v>397</v>
      </c>
      <c r="J233" s="28">
        <v>14</v>
      </c>
      <c r="K233" s="13" t="s">
        <v>45</v>
      </c>
      <c r="L233" s="15">
        <v>48000000</v>
      </c>
      <c r="M233" s="16"/>
      <c r="N233" s="17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</row>
    <row r="234" spans="1:67" s="3" customFormat="1" x14ac:dyDescent="0.2">
      <c r="A234" s="14" t="s">
        <v>2986</v>
      </c>
      <c r="B234" s="14" t="s">
        <v>18</v>
      </c>
      <c r="C234" s="14">
        <v>2025</v>
      </c>
      <c r="D234" s="14" t="str">
        <f t="array" ref="D234">_xlfn.SWITCH(E234,"Jatikalen","35.18.20","Kertosono", "35.18.08","Lengkong","35.18.19","Loceret","35.18.04","Tanjunganom","35.18.11","Wilangan","35.18.15")</f>
        <v>35.18.19</v>
      </c>
      <c r="E234" s="13" t="s">
        <v>30</v>
      </c>
      <c r="F234" s="14" t="s">
        <v>29</v>
      </c>
      <c r="G234" s="14" t="s">
        <v>521</v>
      </c>
      <c r="H234" s="13" t="s">
        <v>9</v>
      </c>
      <c r="I234" s="14" t="s">
        <v>397</v>
      </c>
      <c r="J234" s="28" t="s">
        <v>522</v>
      </c>
      <c r="K234" s="13" t="s">
        <v>45</v>
      </c>
      <c r="L234" s="15">
        <v>62500000</v>
      </c>
      <c r="M234" s="16"/>
      <c r="N234" s="17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</row>
    <row r="235" spans="1:67" s="3" customFormat="1" x14ac:dyDescent="0.2">
      <c r="A235" s="14" t="s">
        <v>2986</v>
      </c>
      <c r="B235" s="14" t="s">
        <v>18</v>
      </c>
      <c r="C235" s="14">
        <v>2025</v>
      </c>
      <c r="D235" s="14" t="str">
        <f t="array" ref="D235">_xlfn.SWITCH(E235,"Jatikalen","35.18.20","Kertosono", "35.18.08","Lengkong","35.18.19","Loceret","35.18.04","Tanjunganom","35.18.11","Wilangan","35.18.15")</f>
        <v>35.18.19</v>
      </c>
      <c r="E235" s="13" t="s">
        <v>30</v>
      </c>
      <c r="F235" s="14" t="s">
        <v>29</v>
      </c>
      <c r="G235" s="14" t="s">
        <v>523</v>
      </c>
      <c r="H235" s="13" t="s">
        <v>9</v>
      </c>
      <c r="I235" s="14" t="s">
        <v>397</v>
      </c>
      <c r="J235" s="28" t="s">
        <v>522</v>
      </c>
      <c r="K235" s="13" t="s">
        <v>45</v>
      </c>
      <c r="L235" s="15">
        <v>62500000</v>
      </c>
      <c r="M235" s="16"/>
      <c r="N235" s="17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</row>
    <row r="236" spans="1:67" s="3" customFormat="1" x14ac:dyDescent="0.2">
      <c r="A236" s="14" t="s">
        <v>2986</v>
      </c>
      <c r="B236" s="14" t="s">
        <v>18</v>
      </c>
      <c r="C236" s="14">
        <v>2025</v>
      </c>
      <c r="D236" s="14" t="str">
        <f t="array" ref="D236">_xlfn.SWITCH(E236,"Jatikalen","35.18.20","Kertosono", "35.18.08","Lengkong","35.18.19","Loceret","35.18.04","Tanjunganom","35.18.11","Wilangan","35.18.15")</f>
        <v>35.18.19</v>
      </c>
      <c r="E236" s="13" t="s">
        <v>30</v>
      </c>
      <c r="F236" s="14" t="s">
        <v>35</v>
      </c>
      <c r="G236" s="14" t="s">
        <v>524</v>
      </c>
      <c r="H236" s="13" t="s">
        <v>9</v>
      </c>
      <c r="I236" s="14" t="s">
        <v>397</v>
      </c>
      <c r="J236" s="28">
        <v>26</v>
      </c>
      <c r="K236" s="13" t="s">
        <v>45</v>
      </c>
      <c r="L236" s="15">
        <v>91000000</v>
      </c>
      <c r="M236" s="16"/>
      <c r="N236" s="17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</row>
    <row r="237" spans="1:67" s="3" customFormat="1" x14ac:dyDescent="0.2">
      <c r="A237" s="14" t="s">
        <v>2986</v>
      </c>
      <c r="B237" s="14" t="s">
        <v>18</v>
      </c>
      <c r="C237" s="14">
        <v>2025</v>
      </c>
      <c r="D237" s="14" t="str">
        <f t="array" ref="D237">_xlfn.SWITCH(E237,"Jatikalen","35.18.20","Kertosono", "35.18.08","Lengkong","35.18.19","Loceret","35.18.04","Tanjunganom","35.18.11","Wilangan","35.18.15")</f>
        <v>35.18.19</v>
      </c>
      <c r="E237" s="13" t="s">
        <v>30</v>
      </c>
      <c r="F237" s="14" t="s">
        <v>35</v>
      </c>
      <c r="G237" s="14" t="s">
        <v>525</v>
      </c>
      <c r="H237" s="13" t="s">
        <v>9</v>
      </c>
      <c r="I237" s="14" t="s">
        <v>397</v>
      </c>
      <c r="J237" s="28">
        <v>19</v>
      </c>
      <c r="K237" s="13" t="s">
        <v>45</v>
      </c>
      <c r="L237" s="15">
        <v>68500000</v>
      </c>
      <c r="M237" s="16"/>
      <c r="N237" s="17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</row>
    <row r="238" spans="1:67" s="3" customFormat="1" x14ac:dyDescent="0.2">
      <c r="A238" s="14" t="s">
        <v>2986</v>
      </c>
      <c r="B238" s="14" t="s">
        <v>18</v>
      </c>
      <c r="C238" s="14">
        <v>2025</v>
      </c>
      <c r="D238" s="14" t="str">
        <f t="array" ref="D238">_xlfn.SWITCH(E238,"Jatikalen","35.18.20","Kertosono", "35.18.08","Lengkong","35.18.19","Loceret","35.18.04","Tanjunganom","35.18.11","Wilangan","35.18.15")</f>
        <v>35.18.19</v>
      </c>
      <c r="E238" s="13" t="s">
        <v>30</v>
      </c>
      <c r="F238" s="14" t="s">
        <v>526</v>
      </c>
      <c r="G238" s="14" t="s">
        <v>527</v>
      </c>
      <c r="H238" s="13" t="s">
        <v>9</v>
      </c>
      <c r="I238" s="14" t="s">
        <v>397</v>
      </c>
      <c r="J238" s="28" t="s">
        <v>528</v>
      </c>
      <c r="K238" s="13" t="s">
        <v>45</v>
      </c>
      <c r="L238" s="15">
        <v>34250000</v>
      </c>
      <c r="M238" s="16"/>
      <c r="N238" s="17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</row>
    <row r="239" spans="1:67" s="3" customFormat="1" x14ac:dyDescent="0.2">
      <c r="A239" s="14" t="s">
        <v>2986</v>
      </c>
      <c r="B239" s="14" t="s">
        <v>18</v>
      </c>
      <c r="C239" s="14">
        <v>2025</v>
      </c>
      <c r="D239" s="14" t="str">
        <f t="array" ref="D239">_xlfn.SWITCH(E239,"Jatikalen","35.18.20","Kertosono", "35.18.08","Lengkong","35.18.19","Loceret","35.18.04","Tanjunganom","35.18.11","Wilangan","35.18.15")</f>
        <v>35.18.19</v>
      </c>
      <c r="E239" s="13" t="s">
        <v>30</v>
      </c>
      <c r="F239" s="14" t="s">
        <v>517</v>
      </c>
      <c r="G239" s="14" t="s">
        <v>529</v>
      </c>
      <c r="H239" s="13" t="s">
        <v>9</v>
      </c>
      <c r="I239" s="14" t="s">
        <v>397</v>
      </c>
      <c r="J239" s="28">
        <v>11</v>
      </c>
      <c r="K239" s="13" t="s">
        <v>45</v>
      </c>
      <c r="L239" s="15">
        <v>36500000</v>
      </c>
      <c r="M239" s="16"/>
      <c r="N239" s="17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</row>
    <row r="240" spans="1:67" s="3" customFormat="1" x14ac:dyDescent="0.2">
      <c r="A240" s="14" t="s">
        <v>2986</v>
      </c>
      <c r="B240" s="14" t="s">
        <v>18</v>
      </c>
      <c r="C240" s="14">
        <v>2025</v>
      </c>
      <c r="D240" s="14" t="str">
        <f t="array" ref="D240">_xlfn.SWITCH(E240,"Jatikalen","35.18.20","Kertosono", "35.18.08","Lengkong","35.18.19","Loceret","35.18.04","Tanjunganom","35.18.11","Wilangan","35.18.15")</f>
        <v>35.18.19</v>
      </c>
      <c r="E240" s="13" t="s">
        <v>30</v>
      </c>
      <c r="F240" s="14" t="s">
        <v>35</v>
      </c>
      <c r="G240" s="14" t="s">
        <v>530</v>
      </c>
      <c r="H240" s="13" t="s">
        <v>9</v>
      </c>
      <c r="I240" s="14" t="s">
        <v>397</v>
      </c>
      <c r="J240" s="28" t="s">
        <v>519</v>
      </c>
      <c r="K240" s="13" t="s">
        <v>45</v>
      </c>
      <c r="L240" s="15">
        <v>70000000</v>
      </c>
      <c r="M240" s="16"/>
      <c r="N240" s="17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</row>
    <row r="241" spans="1:67" s="3" customFormat="1" x14ac:dyDescent="0.2">
      <c r="A241" s="14" t="s">
        <v>2986</v>
      </c>
      <c r="B241" s="14" t="s">
        <v>18</v>
      </c>
      <c r="C241" s="14">
        <v>2025</v>
      </c>
      <c r="D241" s="14" t="str">
        <f t="array" ref="D241">_xlfn.SWITCH(E241,"Jatikalen","35.18.20","Kertosono", "35.18.08","Lengkong","35.18.19","Loceret","35.18.04","Tanjunganom","35.18.11","Wilangan","35.18.15")</f>
        <v>35.18.19</v>
      </c>
      <c r="E241" s="13" t="s">
        <v>30</v>
      </c>
      <c r="F241" s="14" t="s">
        <v>515</v>
      </c>
      <c r="G241" s="14" t="s">
        <v>531</v>
      </c>
      <c r="H241" s="13" t="s">
        <v>9</v>
      </c>
      <c r="I241" s="14" t="s">
        <v>397</v>
      </c>
      <c r="J241" s="28" t="s">
        <v>532</v>
      </c>
      <c r="K241" s="13" t="s">
        <v>45</v>
      </c>
      <c r="L241" s="15">
        <v>27800000</v>
      </c>
      <c r="M241" s="16"/>
      <c r="N241" s="17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</row>
    <row r="242" spans="1:67" s="3" customFormat="1" x14ac:dyDescent="0.2">
      <c r="A242" s="14" t="s">
        <v>2986</v>
      </c>
      <c r="B242" s="14" t="s">
        <v>18</v>
      </c>
      <c r="C242" s="14">
        <v>2025</v>
      </c>
      <c r="D242" s="14" t="str">
        <f t="array" ref="D242">_xlfn.SWITCH(E242,"Jatikalen","35.18.20","Kertosono", "35.18.08","Lengkong","35.18.19","Loceret","35.18.04","Tanjunganom","35.18.11","Wilangan","35.18.15")</f>
        <v>35.18.19</v>
      </c>
      <c r="E242" s="13" t="s">
        <v>30</v>
      </c>
      <c r="F242" s="14" t="s">
        <v>35</v>
      </c>
      <c r="G242" s="14" t="s">
        <v>533</v>
      </c>
      <c r="H242" s="13" t="s">
        <v>9</v>
      </c>
      <c r="I242" s="14" t="s">
        <v>397</v>
      </c>
      <c r="J242" s="28">
        <v>14</v>
      </c>
      <c r="K242" s="13" t="s">
        <v>45</v>
      </c>
      <c r="L242" s="15">
        <v>48500000</v>
      </c>
      <c r="M242" s="16"/>
      <c r="N242" s="17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</row>
    <row r="243" spans="1:67" s="3" customFormat="1" x14ac:dyDescent="0.2">
      <c r="A243" s="14" t="s">
        <v>2986</v>
      </c>
      <c r="B243" s="14" t="s">
        <v>18</v>
      </c>
      <c r="C243" s="14">
        <v>2025</v>
      </c>
      <c r="D243" s="14" t="str">
        <f t="array" ref="D243">_xlfn.SWITCH(E243,"Jatikalen","35.18.20","Kertosono", "35.18.08","Lengkong","35.18.19","Loceret","35.18.04","Tanjunganom","35.18.11","Wilangan","35.18.15")</f>
        <v>35.18.19</v>
      </c>
      <c r="E243" s="13" t="s">
        <v>30</v>
      </c>
      <c r="F243" s="14" t="s">
        <v>534</v>
      </c>
      <c r="G243" s="14" t="s">
        <v>535</v>
      </c>
      <c r="H243" s="13" t="s">
        <v>9</v>
      </c>
      <c r="I243" s="14" t="s">
        <v>397</v>
      </c>
      <c r="J243" s="28" t="s">
        <v>536</v>
      </c>
      <c r="K243" s="13" t="s">
        <v>45</v>
      </c>
      <c r="L243" s="15">
        <v>90250000</v>
      </c>
      <c r="M243" s="16"/>
      <c r="N243" s="17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</row>
    <row r="244" spans="1:67" s="3" customFormat="1" x14ac:dyDescent="0.2">
      <c r="A244" s="14" t="s">
        <v>2986</v>
      </c>
      <c r="B244" s="14" t="s">
        <v>18</v>
      </c>
      <c r="C244" s="14">
        <v>2025</v>
      </c>
      <c r="D244" s="14" t="str">
        <f t="array" ref="D244">_xlfn.SWITCH(E244,"Jatikalen","35.18.20","Kertosono", "35.18.08","Lengkong","35.18.19","Loceret","35.18.04","Tanjunganom","35.18.11","Wilangan","35.18.15")</f>
        <v>35.18.19</v>
      </c>
      <c r="E244" s="13" t="s">
        <v>30</v>
      </c>
      <c r="F244" s="14" t="s">
        <v>537</v>
      </c>
      <c r="G244" s="14" t="s">
        <v>538</v>
      </c>
      <c r="H244" s="13" t="s">
        <v>9</v>
      </c>
      <c r="I244" s="14" t="s">
        <v>397</v>
      </c>
      <c r="J244" s="28" t="s">
        <v>528</v>
      </c>
      <c r="K244" s="13" t="s">
        <v>45</v>
      </c>
      <c r="L244" s="15">
        <v>33250000</v>
      </c>
      <c r="M244" s="16"/>
      <c r="N244" s="17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</row>
    <row r="245" spans="1:67" s="3" customFormat="1" x14ac:dyDescent="0.2">
      <c r="A245" s="14" t="s">
        <v>2986</v>
      </c>
      <c r="B245" s="14" t="s">
        <v>18</v>
      </c>
      <c r="C245" s="14">
        <v>2025</v>
      </c>
      <c r="D245" s="14" t="str">
        <f t="array" ref="D245">_xlfn.SWITCH(E245,"Jatikalen","35.18.20","Kertosono", "35.18.08","Lengkong","35.18.19","Loceret","35.18.04","Tanjunganom","35.18.11","Wilangan","35.18.15")</f>
        <v>35.18.19</v>
      </c>
      <c r="E245" s="13" t="s">
        <v>30</v>
      </c>
      <c r="F245" s="14" t="s">
        <v>526</v>
      </c>
      <c r="G245" s="14" t="s">
        <v>539</v>
      </c>
      <c r="H245" s="13" t="s">
        <v>9</v>
      </c>
      <c r="I245" s="14" t="s">
        <v>397</v>
      </c>
      <c r="J245" s="28">
        <v>13</v>
      </c>
      <c r="K245" s="13" t="s">
        <v>45</v>
      </c>
      <c r="L245" s="15">
        <v>43500000</v>
      </c>
      <c r="M245" s="16"/>
      <c r="N245" s="17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</row>
    <row r="246" spans="1:67" s="3" customFormat="1" x14ac:dyDescent="0.2">
      <c r="A246" s="14" t="s">
        <v>2986</v>
      </c>
      <c r="B246" s="14" t="s">
        <v>18</v>
      </c>
      <c r="C246" s="14">
        <v>2025</v>
      </c>
      <c r="D246" s="14" t="str">
        <f t="array" ref="D246">_xlfn.SWITCH(E246,"Jatikalen","35.18.20","Kertosono", "35.18.08","Lengkong","35.18.19","Loceret","35.18.04","Tanjunganom","35.18.11","Wilangan","35.18.15")</f>
        <v>35.18.19</v>
      </c>
      <c r="E246" s="13" t="s">
        <v>30</v>
      </c>
      <c r="F246" s="14" t="s">
        <v>513</v>
      </c>
      <c r="G246" s="14" t="s">
        <v>540</v>
      </c>
      <c r="H246" s="13" t="s">
        <v>9</v>
      </c>
      <c r="I246" s="14" t="s">
        <v>397</v>
      </c>
      <c r="J246" s="28" t="s">
        <v>528</v>
      </c>
      <c r="K246" s="13" t="s">
        <v>45</v>
      </c>
      <c r="L246" s="15">
        <v>33000000</v>
      </c>
      <c r="M246" s="16"/>
      <c r="N246" s="17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</row>
    <row r="247" spans="1:67" s="3" customFormat="1" x14ac:dyDescent="0.2">
      <c r="A247" s="14" t="s">
        <v>2986</v>
      </c>
      <c r="B247" s="14" t="s">
        <v>18</v>
      </c>
      <c r="C247" s="14">
        <v>2025</v>
      </c>
      <c r="D247" s="14" t="str">
        <f t="array" ref="D247">_xlfn.SWITCH(E247,"Jatikalen","35.18.20","Kertosono", "35.18.08","Lengkong","35.18.19","Loceret","35.18.04","Tanjunganom","35.18.11","Wilangan","35.18.15")</f>
        <v>35.18.19</v>
      </c>
      <c r="E247" s="13" t="s">
        <v>30</v>
      </c>
      <c r="F247" s="14" t="s">
        <v>541</v>
      </c>
      <c r="G247" s="14" t="s">
        <v>542</v>
      </c>
      <c r="H247" s="13" t="s">
        <v>9</v>
      </c>
      <c r="I247" s="14" t="s">
        <v>397</v>
      </c>
      <c r="J247" s="28" t="s">
        <v>528</v>
      </c>
      <c r="K247" s="13" t="s">
        <v>45</v>
      </c>
      <c r="L247" s="15">
        <v>32500000</v>
      </c>
      <c r="M247" s="16"/>
      <c r="N247" s="17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</row>
    <row r="248" spans="1:67" s="3" customFormat="1" x14ac:dyDescent="0.2">
      <c r="A248" s="14" t="s">
        <v>2986</v>
      </c>
      <c r="B248" s="14" t="s">
        <v>18</v>
      </c>
      <c r="C248" s="14">
        <v>2025</v>
      </c>
      <c r="D248" s="14" t="str">
        <f t="array" ref="D248">_xlfn.SWITCH(E248,"Jatikalen","35.18.20","Kertosono", "35.18.08","Lengkong","35.18.19","Loceret","35.18.04","Tanjunganom","35.18.11","Wilangan","35.18.15")</f>
        <v>35.18.19</v>
      </c>
      <c r="E248" s="13" t="s">
        <v>30</v>
      </c>
      <c r="F248" s="14" t="s">
        <v>29</v>
      </c>
      <c r="G248" s="14" t="s">
        <v>543</v>
      </c>
      <c r="H248" s="13" t="s">
        <v>9</v>
      </c>
      <c r="I248" s="14" t="s">
        <v>397</v>
      </c>
      <c r="J248" s="28">
        <v>26</v>
      </c>
      <c r="K248" s="13" t="s">
        <v>45</v>
      </c>
      <c r="L248" s="15">
        <v>90000000</v>
      </c>
      <c r="M248" s="16"/>
      <c r="N248" s="17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</row>
    <row r="249" spans="1:67" s="3" customFormat="1" x14ac:dyDescent="0.2">
      <c r="A249" s="14" t="s">
        <v>2986</v>
      </c>
      <c r="B249" s="14" t="s">
        <v>18</v>
      </c>
      <c r="C249" s="14">
        <v>2025</v>
      </c>
      <c r="D249" s="14" t="str">
        <f t="array" ref="D249">_xlfn.SWITCH(E249,"Jatikalen","35.18.20","Kertosono", "35.18.08","Lengkong","35.18.19","Loceret","35.18.04","Tanjunganom","35.18.11","Wilangan","35.18.15")</f>
        <v>35.18.04</v>
      </c>
      <c r="E249" s="13" t="s">
        <v>15</v>
      </c>
      <c r="F249" s="14" t="s">
        <v>248</v>
      </c>
      <c r="G249" s="14" t="s">
        <v>544</v>
      </c>
      <c r="H249" s="13" t="s">
        <v>9</v>
      </c>
      <c r="I249" s="14" t="s">
        <v>21</v>
      </c>
      <c r="J249" s="28">
        <v>20</v>
      </c>
      <c r="K249" s="13" t="s">
        <v>135</v>
      </c>
      <c r="L249" s="22">
        <v>8160000</v>
      </c>
      <c r="M249" s="16"/>
      <c r="N249" s="17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</row>
    <row r="250" spans="1:67" s="3" customFormat="1" x14ac:dyDescent="0.2">
      <c r="A250" s="14" t="s">
        <v>2986</v>
      </c>
      <c r="B250" s="14" t="s">
        <v>18</v>
      </c>
      <c r="C250" s="14">
        <v>2025</v>
      </c>
      <c r="D250" s="14" t="str">
        <f t="array" ref="D250">_xlfn.SWITCH(E250,"Jatikalen","35.18.20","Kertosono", "35.18.08","Lengkong","35.18.19","Loceret","35.18.04","Tanjunganom","35.18.11","Wilangan","35.18.15")</f>
        <v>35.18.04</v>
      </c>
      <c r="E250" s="13" t="s">
        <v>15</v>
      </c>
      <c r="F250" s="14" t="s">
        <v>15</v>
      </c>
      <c r="G250" s="14" t="s">
        <v>545</v>
      </c>
      <c r="H250" s="13" t="s">
        <v>9</v>
      </c>
      <c r="I250" s="14" t="s">
        <v>546</v>
      </c>
      <c r="J250" s="28">
        <v>121</v>
      </c>
      <c r="K250" s="13" t="s">
        <v>45</v>
      </c>
      <c r="L250" s="22">
        <v>151250000</v>
      </c>
      <c r="M250" s="16"/>
      <c r="N250" s="17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</row>
    <row r="251" spans="1:67" s="3" customFormat="1" x14ac:dyDescent="0.2">
      <c r="A251" s="14" t="s">
        <v>2986</v>
      </c>
      <c r="B251" s="14" t="s">
        <v>18</v>
      </c>
      <c r="C251" s="14">
        <v>2025</v>
      </c>
      <c r="D251" s="14" t="str">
        <f t="array" ref="D251">_xlfn.SWITCH(E251,"Jatikalen","35.18.20","Kertosono", "35.18.08","Lengkong","35.18.19","Loceret","35.18.04","Tanjunganom","35.18.11","Wilangan","35.18.15")</f>
        <v>35.18.04</v>
      </c>
      <c r="E251" s="13" t="s">
        <v>15</v>
      </c>
      <c r="F251" s="14" t="s">
        <v>248</v>
      </c>
      <c r="G251" s="14" t="s">
        <v>60</v>
      </c>
      <c r="H251" s="13" t="s">
        <v>20</v>
      </c>
      <c r="I251" s="14" t="s">
        <v>21</v>
      </c>
      <c r="J251" s="28">
        <v>60</v>
      </c>
      <c r="K251" s="13" t="s">
        <v>135</v>
      </c>
      <c r="L251" s="22">
        <v>22196000</v>
      </c>
      <c r="M251" s="16"/>
      <c r="N251" s="17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</row>
    <row r="252" spans="1:67" s="3" customFormat="1" x14ac:dyDescent="0.2">
      <c r="A252" s="14" t="s">
        <v>2986</v>
      </c>
      <c r="B252" s="14" t="s">
        <v>18</v>
      </c>
      <c r="C252" s="14">
        <v>2025</v>
      </c>
      <c r="D252" s="14" t="str">
        <f t="array" ref="D252">_xlfn.SWITCH(E252,"Jatikalen","35.18.20","Kertosono", "35.18.08","Lengkong","35.18.19","Loceret","35.18.04","Tanjunganom","35.18.11","Wilangan","35.18.15")</f>
        <v>35.18.04</v>
      </c>
      <c r="E252" s="13" t="s">
        <v>15</v>
      </c>
      <c r="F252" s="14" t="s">
        <v>248</v>
      </c>
      <c r="G252" s="14" t="s">
        <v>547</v>
      </c>
      <c r="H252" s="13" t="s">
        <v>20</v>
      </c>
      <c r="I252" s="14" t="s">
        <v>21</v>
      </c>
      <c r="J252" s="28">
        <v>51</v>
      </c>
      <c r="K252" s="13" t="s">
        <v>135</v>
      </c>
      <c r="L252" s="22">
        <v>19500000</v>
      </c>
      <c r="M252" s="16"/>
      <c r="N252" s="17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</row>
    <row r="253" spans="1:67" s="3" customFormat="1" x14ac:dyDescent="0.2">
      <c r="A253" s="14" t="s">
        <v>2986</v>
      </c>
      <c r="B253" s="14" t="s">
        <v>18</v>
      </c>
      <c r="C253" s="14">
        <v>2025</v>
      </c>
      <c r="D253" s="14" t="str">
        <f t="array" ref="D253">_xlfn.SWITCH(E253,"Jatikalen","35.18.20","Kertosono", "35.18.08","Lengkong","35.18.19","Loceret","35.18.04","Tanjunganom","35.18.11","Wilangan","35.18.15")</f>
        <v>35.18.04</v>
      </c>
      <c r="E253" s="13" t="s">
        <v>15</v>
      </c>
      <c r="F253" s="14" t="s">
        <v>248</v>
      </c>
      <c r="G253" s="14" t="s">
        <v>548</v>
      </c>
      <c r="H253" s="13" t="s">
        <v>9</v>
      </c>
      <c r="I253" s="14" t="s">
        <v>21</v>
      </c>
      <c r="J253" s="28">
        <v>40</v>
      </c>
      <c r="K253" s="13" t="s">
        <v>135</v>
      </c>
      <c r="L253" s="22">
        <v>17604000</v>
      </c>
      <c r="M253" s="16"/>
      <c r="N253" s="17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</row>
    <row r="254" spans="1:67" s="3" customFormat="1" x14ac:dyDescent="0.2">
      <c r="A254" s="14" t="s">
        <v>2986</v>
      </c>
      <c r="B254" s="14" t="s">
        <v>18</v>
      </c>
      <c r="C254" s="14">
        <v>2025</v>
      </c>
      <c r="D254" s="14" t="str">
        <f t="array" ref="D254">_xlfn.SWITCH(E254,"Jatikalen","35.18.20","Kertosono", "35.18.08","Lengkong","35.18.19","Loceret","35.18.04","Tanjunganom","35.18.11","Wilangan","35.18.15")</f>
        <v>35.18.04</v>
      </c>
      <c r="E254" s="13" t="s">
        <v>15</v>
      </c>
      <c r="F254" s="14" t="s">
        <v>248</v>
      </c>
      <c r="G254" s="14" t="s">
        <v>549</v>
      </c>
      <c r="H254" s="13" t="s">
        <v>9</v>
      </c>
      <c r="I254" s="14" t="s">
        <v>329</v>
      </c>
      <c r="J254" s="28">
        <v>7</v>
      </c>
      <c r="K254" s="13" t="s">
        <v>45</v>
      </c>
      <c r="L254" s="22">
        <v>96000000</v>
      </c>
      <c r="M254" s="16"/>
      <c r="N254" s="17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</row>
    <row r="255" spans="1:67" s="3" customFormat="1" x14ac:dyDescent="0.2">
      <c r="A255" s="14" t="s">
        <v>2986</v>
      </c>
      <c r="B255" s="14" t="s">
        <v>18</v>
      </c>
      <c r="C255" s="14">
        <v>2025</v>
      </c>
      <c r="D255" s="14" t="str">
        <f t="array" ref="D255">_xlfn.SWITCH(E255,"Jatikalen","35.18.20","Kertosono", "35.18.08","Lengkong","35.18.19","Loceret","35.18.04","Tanjunganom","35.18.11","Wilangan","35.18.15")</f>
        <v>35.18.04</v>
      </c>
      <c r="E255" s="13" t="s">
        <v>15</v>
      </c>
      <c r="F255" s="14" t="s">
        <v>254</v>
      </c>
      <c r="G255" s="14" t="s">
        <v>550</v>
      </c>
      <c r="H255" s="13" t="s">
        <v>20</v>
      </c>
      <c r="I255" s="14" t="s">
        <v>166</v>
      </c>
      <c r="J255" s="28">
        <v>15000</v>
      </c>
      <c r="K255" s="13" t="s">
        <v>167</v>
      </c>
      <c r="L255" s="22">
        <v>430000000</v>
      </c>
      <c r="M255" s="24" t="s">
        <v>551</v>
      </c>
      <c r="N255" s="17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</row>
    <row r="256" spans="1:67" s="3" customFormat="1" x14ac:dyDescent="0.2">
      <c r="A256" s="14" t="s">
        <v>2986</v>
      </c>
      <c r="B256" s="14" t="s">
        <v>18</v>
      </c>
      <c r="C256" s="14">
        <v>2025</v>
      </c>
      <c r="D256" s="14" t="str">
        <f t="array" ref="D256">_xlfn.SWITCH(E256,"Bagor","35.18.14","Sukomoro",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256" s="13" t="s">
        <v>18</v>
      </c>
      <c r="F256" s="25" t="s">
        <v>552</v>
      </c>
      <c r="G256" s="14" t="s">
        <v>553</v>
      </c>
      <c r="H256" s="13" t="s">
        <v>20</v>
      </c>
      <c r="I256" s="14" t="s">
        <v>166</v>
      </c>
      <c r="J256" s="28">
        <v>15000</v>
      </c>
      <c r="K256" s="13" t="s">
        <v>167</v>
      </c>
      <c r="L256" s="22">
        <v>435000000</v>
      </c>
      <c r="M256" s="18">
        <v>2002</v>
      </c>
      <c r="N256" s="17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</row>
    <row r="257" spans="1:67" s="3" customFormat="1" x14ac:dyDescent="0.2">
      <c r="A257" s="14" t="s">
        <v>2986</v>
      </c>
      <c r="B257" s="14" t="s">
        <v>18</v>
      </c>
      <c r="C257" s="14">
        <v>2025</v>
      </c>
      <c r="D257" s="14" t="str">
        <f t="array" ref="D257">_xlfn.SWITCH(E257,"Jatikalen","35.18.20","Kertosono", "35.18.08","Lengkong","35.18.19","Loceret","35.18.04","Tanjunganom","35.18.11","Wilangan","35.18.15")</f>
        <v>35.18.04</v>
      </c>
      <c r="E257" s="13" t="s">
        <v>15</v>
      </c>
      <c r="F257" s="14" t="s">
        <v>15</v>
      </c>
      <c r="G257" s="14" t="s">
        <v>554</v>
      </c>
      <c r="H257" s="13" t="s">
        <v>43</v>
      </c>
      <c r="I257" s="14" t="s">
        <v>555</v>
      </c>
      <c r="J257" s="28">
        <v>2000</v>
      </c>
      <c r="K257" s="13" t="s">
        <v>37</v>
      </c>
      <c r="L257" s="22">
        <v>3560520000</v>
      </c>
      <c r="M257" s="33">
        <v>39303</v>
      </c>
      <c r="N257" s="17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</row>
    <row r="258" spans="1:67" s="3" customFormat="1" x14ac:dyDescent="0.2">
      <c r="A258" s="14" t="s">
        <v>2986</v>
      </c>
      <c r="B258" s="14" t="s">
        <v>18</v>
      </c>
      <c r="C258" s="14">
        <v>2025</v>
      </c>
      <c r="D258" s="14" t="str">
        <f t="array" ref="D258">_xlfn.SWITCH(E258,"Jatikalen","35.18.20","Kertosono", "35.18.08","Lengkong","35.18.19","Loceret","35.18.04","Tanjunganom","35.18.11","Wilangan","35.18.15")</f>
        <v>35.18.04</v>
      </c>
      <c r="E258" s="13" t="s">
        <v>15</v>
      </c>
      <c r="F258" s="14" t="s">
        <v>248</v>
      </c>
      <c r="G258" s="14" t="s">
        <v>556</v>
      </c>
      <c r="H258" s="13" t="s">
        <v>9</v>
      </c>
      <c r="I258" s="14" t="s">
        <v>555</v>
      </c>
      <c r="J258" s="28">
        <v>420</v>
      </c>
      <c r="K258" s="13" t="s">
        <v>37</v>
      </c>
      <c r="L258" s="22">
        <v>784080000</v>
      </c>
      <c r="M258" s="16"/>
      <c r="N258" s="17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</row>
    <row r="259" spans="1:67" s="3" customFormat="1" x14ac:dyDescent="0.2">
      <c r="A259" s="14" t="s">
        <v>2986</v>
      </c>
      <c r="B259" s="14" t="s">
        <v>18</v>
      </c>
      <c r="C259" s="14">
        <v>2025</v>
      </c>
      <c r="D259" s="14" t="str">
        <f t="array" ref="D259">_xlfn.SWITCH(E259,"Jatikalen","35.18.20","Kertosono", "35.18.08","Lengkong","35.18.19","Loceret","35.18.04","Tanjunganom","35.18.11","Wilangan","35.18.15")</f>
        <v>35.18.04</v>
      </c>
      <c r="E259" s="13" t="s">
        <v>15</v>
      </c>
      <c r="F259" s="14" t="s">
        <v>557</v>
      </c>
      <c r="G259" s="14" t="s">
        <v>558</v>
      </c>
      <c r="H259" s="13" t="s">
        <v>9</v>
      </c>
      <c r="I259" s="14" t="s">
        <v>114</v>
      </c>
      <c r="J259" s="28">
        <v>100</v>
      </c>
      <c r="K259" s="13" t="s">
        <v>45</v>
      </c>
      <c r="L259" s="22">
        <v>130000000</v>
      </c>
      <c r="M259" s="16"/>
      <c r="N259" s="17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</row>
    <row r="260" spans="1:67" s="3" customFormat="1" x14ac:dyDescent="0.2">
      <c r="A260" s="14" t="s">
        <v>2986</v>
      </c>
      <c r="B260" s="14" t="s">
        <v>18</v>
      </c>
      <c r="C260" s="14">
        <v>2025</v>
      </c>
      <c r="D260" s="14" t="str">
        <f t="array" ref="D260">_xlfn.SWITCH(E260,"Jatikalen","35.18.20","Kertosono", "35.18.08","Lengkong","35.18.19","Loceret","35.18.04","Tanjunganom","35.18.11","Wilangan","35.18.15")</f>
        <v>35.18.04</v>
      </c>
      <c r="E260" s="13" t="s">
        <v>15</v>
      </c>
      <c r="F260" s="14" t="s">
        <v>254</v>
      </c>
      <c r="G260" s="14" t="s">
        <v>559</v>
      </c>
      <c r="H260" s="13" t="s">
        <v>20</v>
      </c>
      <c r="I260" s="14" t="s">
        <v>21</v>
      </c>
      <c r="J260" s="28">
        <v>30</v>
      </c>
      <c r="K260" s="13" t="s">
        <v>135</v>
      </c>
      <c r="L260" s="22">
        <v>12998000</v>
      </c>
      <c r="M260" s="16"/>
      <c r="N260" s="17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</row>
    <row r="261" spans="1:67" s="3" customFormat="1" x14ac:dyDescent="0.2">
      <c r="A261" s="14" t="s">
        <v>2986</v>
      </c>
      <c r="B261" s="14" t="s">
        <v>18</v>
      </c>
      <c r="C261" s="14">
        <v>2025</v>
      </c>
      <c r="D261" s="14" t="str">
        <f t="array" ref="D261">_xlfn.SWITCH(E261,"Jatikalen","35.18.20","Kertosono", "35.18.08","Lengkong","35.18.19","Loceret","35.18.04","Tanjunganom","35.18.11","Wilangan","35.18.15")</f>
        <v>35.18.04</v>
      </c>
      <c r="E261" s="13" t="s">
        <v>15</v>
      </c>
      <c r="F261" s="14" t="s">
        <v>560</v>
      </c>
      <c r="G261" s="14" t="s">
        <v>561</v>
      </c>
      <c r="H261" s="13" t="s">
        <v>9</v>
      </c>
      <c r="I261" s="14" t="s">
        <v>562</v>
      </c>
      <c r="J261" s="28">
        <v>500</v>
      </c>
      <c r="K261" s="13" t="s">
        <v>135</v>
      </c>
      <c r="L261" s="22">
        <v>235000000</v>
      </c>
      <c r="M261" s="16"/>
      <c r="N261" s="17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</row>
    <row r="262" spans="1:67" s="3" customFormat="1" x14ac:dyDescent="0.2">
      <c r="A262" s="14" t="s">
        <v>2986</v>
      </c>
      <c r="B262" s="14" t="s">
        <v>18</v>
      </c>
      <c r="C262" s="14">
        <v>2025</v>
      </c>
      <c r="D262" s="14" t="str">
        <f t="array" ref="D262">_xlfn.SWITCH(E262,"Jatikalen","35.18.20","Kertosono", "35.18.08","Lengkong","35.18.19","Loceret","35.18.04","Tanjunganom","35.18.11","Wilangan","35.18.15")</f>
        <v>35.18.04</v>
      </c>
      <c r="E262" s="13" t="s">
        <v>15</v>
      </c>
      <c r="F262" s="14" t="s">
        <v>560</v>
      </c>
      <c r="G262" s="14" t="s">
        <v>563</v>
      </c>
      <c r="H262" s="13" t="s">
        <v>9</v>
      </c>
      <c r="I262" s="14" t="s">
        <v>562</v>
      </c>
      <c r="J262" s="28">
        <v>75</v>
      </c>
      <c r="K262" s="13" t="s">
        <v>135</v>
      </c>
      <c r="L262" s="22">
        <v>40000000</v>
      </c>
      <c r="M262" s="16"/>
      <c r="N262" s="17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</row>
    <row r="263" spans="1:67" s="3" customFormat="1" x14ac:dyDescent="0.2">
      <c r="A263" s="14" t="s">
        <v>2986</v>
      </c>
      <c r="B263" s="14" t="s">
        <v>18</v>
      </c>
      <c r="C263" s="14">
        <v>2025</v>
      </c>
      <c r="D263" s="14" t="str">
        <f t="array" ref="D263">_xlfn.SWITCH(E263,"Jatikalen","35.18.20","Kertosono", "35.18.08","Lengkong","35.18.19","Loceret","35.18.04","Tanjunganom","35.18.11","Wilangan","35.18.15")</f>
        <v>35.18.04</v>
      </c>
      <c r="E263" s="13" t="s">
        <v>15</v>
      </c>
      <c r="F263" s="14" t="s">
        <v>564</v>
      </c>
      <c r="G263" s="14" t="s">
        <v>565</v>
      </c>
      <c r="H263" s="13" t="s">
        <v>9</v>
      </c>
      <c r="I263" s="14" t="s">
        <v>114</v>
      </c>
      <c r="J263" s="28">
        <v>90</v>
      </c>
      <c r="K263" s="13" t="s">
        <v>45</v>
      </c>
      <c r="L263" s="22">
        <v>432000000</v>
      </c>
      <c r="M263" s="16"/>
      <c r="N263" s="17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</row>
    <row r="264" spans="1:67" s="3" customFormat="1" x14ac:dyDescent="0.2">
      <c r="A264" s="14" t="s">
        <v>2986</v>
      </c>
      <c r="B264" s="14" t="s">
        <v>18</v>
      </c>
      <c r="C264" s="14">
        <v>2025</v>
      </c>
      <c r="D264" s="14" t="str">
        <f t="array" ref="D264">_xlfn.SWITCH(E264,"Jatikalen","35.18.20","Kertosono", "35.18.08","Lengkong","35.18.19","Loceret","35.18.04","Tanjunganom","35.18.11","Wilangan","35.18.15")</f>
        <v>35.18.04</v>
      </c>
      <c r="E264" s="13" t="s">
        <v>15</v>
      </c>
      <c r="F264" s="14" t="s">
        <v>254</v>
      </c>
      <c r="G264" s="14" t="s">
        <v>566</v>
      </c>
      <c r="H264" s="13" t="s">
        <v>9</v>
      </c>
      <c r="I264" s="14" t="s">
        <v>166</v>
      </c>
      <c r="J264" s="28">
        <v>6695</v>
      </c>
      <c r="K264" s="13" t="s">
        <v>167</v>
      </c>
      <c r="L264" s="22">
        <v>200500000</v>
      </c>
      <c r="M264" s="16"/>
      <c r="N264" s="17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</row>
    <row r="265" spans="1:67" s="3" customFormat="1" x14ac:dyDescent="0.2">
      <c r="A265" s="14" t="s">
        <v>2986</v>
      </c>
      <c r="B265" s="14" t="s">
        <v>18</v>
      </c>
      <c r="C265" s="14">
        <v>2025</v>
      </c>
      <c r="D265" s="14" t="str">
        <f t="array" ref="D265">_xlfn.SWITCH(E265,"Jatikalen","35.18.20","Kertosono", "35.18.08","Lengkong","35.18.19","Loceret","35.18.04","Tanjunganom","35.18.11","Wilangan","35.18.15")</f>
        <v>35.18.04</v>
      </c>
      <c r="E265" s="13" t="s">
        <v>15</v>
      </c>
      <c r="F265" s="14" t="s">
        <v>560</v>
      </c>
      <c r="G265" s="14" t="s">
        <v>426</v>
      </c>
      <c r="H265" s="13" t="s">
        <v>9</v>
      </c>
      <c r="I265" s="14" t="s">
        <v>567</v>
      </c>
      <c r="J265" s="28">
        <v>21600</v>
      </c>
      <c r="K265" s="13" t="s">
        <v>22</v>
      </c>
      <c r="L265" s="22">
        <v>3000000</v>
      </c>
      <c r="M265" s="16"/>
      <c r="N265" s="17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</row>
    <row r="266" spans="1:67" s="3" customFormat="1" x14ac:dyDescent="0.2">
      <c r="A266" s="14" t="s">
        <v>2986</v>
      </c>
      <c r="B266" s="14" t="s">
        <v>18</v>
      </c>
      <c r="C266" s="14">
        <v>2025</v>
      </c>
      <c r="D266" s="14" t="str">
        <f t="array" ref="D266">_xlfn.SWITCH(E266,"Jatikalen","35.18.20","Kertosono", "35.18.08","Lengkong","35.18.19","Loceret","35.18.04","Tanjunganom","35.18.11","Wilangan","35.18.15")</f>
        <v>35.18.04</v>
      </c>
      <c r="E266" s="13" t="s">
        <v>15</v>
      </c>
      <c r="F266" s="14" t="s">
        <v>560</v>
      </c>
      <c r="G266" s="14" t="s">
        <v>568</v>
      </c>
      <c r="H266" s="13" t="s">
        <v>9</v>
      </c>
      <c r="I266" s="14" t="s">
        <v>567</v>
      </c>
      <c r="J266" s="28">
        <v>21600</v>
      </c>
      <c r="K266" s="13" t="s">
        <v>22</v>
      </c>
      <c r="L266" s="22">
        <v>2850000</v>
      </c>
      <c r="M266" s="16"/>
      <c r="N266" s="17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</row>
    <row r="267" spans="1:67" s="3" customFormat="1" x14ac:dyDescent="0.2">
      <c r="A267" s="14" t="s">
        <v>2986</v>
      </c>
      <c r="B267" s="14" t="s">
        <v>18</v>
      </c>
      <c r="C267" s="14">
        <v>2025</v>
      </c>
      <c r="D267" s="14" t="str">
        <f t="array" ref="D267">_xlfn.SWITCH(E267,"Jatikalen","35.18.20","Kertosono", "35.18.08","Lengkong","35.18.19","Loceret","35.18.04","Tanjunganom","35.18.11","Wilangan","35.18.15")</f>
        <v>35.18.04</v>
      </c>
      <c r="E267" s="13" t="s">
        <v>15</v>
      </c>
      <c r="F267" s="14" t="s">
        <v>560</v>
      </c>
      <c r="G267" s="14" t="s">
        <v>569</v>
      </c>
      <c r="H267" s="13" t="s">
        <v>9</v>
      </c>
      <c r="I267" s="14" t="s">
        <v>567</v>
      </c>
      <c r="J267" s="28">
        <v>16800</v>
      </c>
      <c r="K267" s="13" t="s">
        <v>22</v>
      </c>
      <c r="L267" s="22">
        <v>2400000</v>
      </c>
      <c r="M267" s="16"/>
      <c r="N267" s="17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</row>
    <row r="268" spans="1:67" s="3" customFormat="1" x14ac:dyDescent="0.2">
      <c r="A268" s="14" t="s">
        <v>2986</v>
      </c>
      <c r="B268" s="14" t="s">
        <v>18</v>
      </c>
      <c r="C268" s="14">
        <v>2025</v>
      </c>
      <c r="D268" s="14" t="str">
        <f t="array" ref="D268">_xlfn.SWITCH(E268,"Jatikalen","35.18.20","Kertosono", "35.18.08","Lengkong","35.18.19","Loceret","35.18.04","Tanjunganom","35.18.11","Wilangan","35.18.15")</f>
        <v>35.18.04</v>
      </c>
      <c r="E268" s="13" t="s">
        <v>15</v>
      </c>
      <c r="F268" s="14" t="s">
        <v>233</v>
      </c>
      <c r="G268" s="14" t="s">
        <v>545</v>
      </c>
      <c r="H268" s="13" t="s">
        <v>43</v>
      </c>
      <c r="I268" s="14" t="s">
        <v>147</v>
      </c>
      <c r="J268" s="28">
        <v>3500</v>
      </c>
      <c r="K268" s="13" t="s">
        <v>37</v>
      </c>
      <c r="L268" s="22">
        <v>13700000</v>
      </c>
      <c r="M268" s="16"/>
      <c r="N268" s="17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</row>
    <row r="269" spans="1:67" s="3" customFormat="1" x14ac:dyDescent="0.2">
      <c r="A269" s="14" t="s">
        <v>2986</v>
      </c>
      <c r="B269" s="14" t="s">
        <v>18</v>
      </c>
      <c r="C269" s="14">
        <v>2025</v>
      </c>
      <c r="D269" s="14" t="str">
        <f t="array" ref="D269">_xlfn.SWITCH(E269,"Jatikalen","35.18.20","Kertosono", "35.18.08","Lengkong","35.18.19","Loceret","35.18.04","Tanjunganom","35.18.11","Wilangan","35.18.15")</f>
        <v>35.18.04</v>
      </c>
      <c r="E269" s="13" t="s">
        <v>15</v>
      </c>
      <c r="F269" s="14" t="s">
        <v>254</v>
      </c>
      <c r="G269" s="14" t="s">
        <v>570</v>
      </c>
      <c r="H269" s="13" t="s">
        <v>9</v>
      </c>
      <c r="I269" s="14" t="s">
        <v>313</v>
      </c>
      <c r="J269" s="28">
        <v>100000</v>
      </c>
      <c r="K269" s="13" t="s">
        <v>87</v>
      </c>
      <c r="L269" s="22">
        <v>14438000</v>
      </c>
      <c r="M269" s="16"/>
      <c r="N269" s="17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</row>
    <row r="270" spans="1:67" s="3" customFormat="1" x14ac:dyDescent="0.2">
      <c r="A270" s="14" t="s">
        <v>2986</v>
      </c>
      <c r="B270" s="14" t="s">
        <v>18</v>
      </c>
      <c r="C270" s="14">
        <v>2025</v>
      </c>
      <c r="D270" s="14" t="str">
        <f t="array" ref="D270">_xlfn.SWITCH(E270,"Jatikalen","35.18.20","Kertosono", "35.18.08","Lengkong","35.18.19","Loceret","35.18.04","Tanjunganom","35.18.11","Wilangan","35.18.15")</f>
        <v>35.18.04</v>
      </c>
      <c r="E270" s="13" t="s">
        <v>15</v>
      </c>
      <c r="F270" s="14" t="s">
        <v>571</v>
      </c>
      <c r="G270" s="14" t="s">
        <v>572</v>
      </c>
      <c r="H270" s="13" t="s">
        <v>9</v>
      </c>
      <c r="I270" s="14" t="s">
        <v>109</v>
      </c>
      <c r="J270" s="28">
        <v>43200</v>
      </c>
      <c r="K270" s="13" t="s">
        <v>217</v>
      </c>
      <c r="L270" s="22">
        <v>69450000</v>
      </c>
      <c r="M270" s="16"/>
      <c r="N270" s="17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</row>
    <row r="271" spans="1:67" s="3" customFormat="1" x14ac:dyDescent="0.2">
      <c r="A271" s="14" t="s">
        <v>2986</v>
      </c>
      <c r="B271" s="14" t="s">
        <v>18</v>
      </c>
      <c r="C271" s="14">
        <v>2025</v>
      </c>
      <c r="D271" s="14" t="str">
        <f t="array" ref="D271">_xlfn.SWITCH(E271,"Bagor","35.18.14","Sukomoro",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271" s="13" t="s">
        <v>24</v>
      </c>
      <c r="F271" s="14" t="s">
        <v>573</v>
      </c>
      <c r="G271" s="14" t="s">
        <v>574</v>
      </c>
      <c r="H271" s="13" t="s">
        <v>9</v>
      </c>
      <c r="I271" s="14" t="s">
        <v>575</v>
      </c>
      <c r="J271" s="28">
        <v>24000</v>
      </c>
      <c r="K271" s="13" t="s">
        <v>94</v>
      </c>
      <c r="L271" s="15">
        <v>3200000</v>
      </c>
      <c r="M271" s="16"/>
      <c r="N271" s="17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</row>
    <row r="272" spans="1:67" s="3" customFormat="1" x14ac:dyDescent="0.2">
      <c r="A272" s="14" t="s">
        <v>2986</v>
      </c>
      <c r="B272" s="14" t="s">
        <v>18</v>
      </c>
      <c r="C272" s="14">
        <v>2025</v>
      </c>
      <c r="D272" s="14" t="str">
        <f t="array" ref="D272">_xlfn.SWITCH(E272,"Bagor","35.18.14","Sukomoro",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2" s="13" t="s">
        <v>72</v>
      </c>
      <c r="F272" s="14" t="s">
        <v>576</v>
      </c>
      <c r="G272" s="14" t="s">
        <v>577</v>
      </c>
      <c r="H272" s="13" t="s">
        <v>9</v>
      </c>
      <c r="I272" s="14" t="s">
        <v>109</v>
      </c>
      <c r="J272" s="28">
        <v>71</v>
      </c>
      <c r="K272" s="13" t="s">
        <v>45</v>
      </c>
      <c r="L272" s="15">
        <v>121650000</v>
      </c>
      <c r="M272" s="16"/>
      <c r="N272" s="17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</row>
    <row r="273" spans="1:67" s="3" customFormat="1" x14ac:dyDescent="0.2">
      <c r="A273" s="14" t="s">
        <v>2986</v>
      </c>
      <c r="B273" s="14" t="s">
        <v>18</v>
      </c>
      <c r="C273" s="14">
        <v>2025</v>
      </c>
      <c r="D273" s="14" t="str">
        <f t="array" ref="D273">_xlfn.SWITCH(E273,"Bagor","35.18.14","Sukomoro",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3" s="13" t="s">
        <v>72</v>
      </c>
      <c r="F273" s="14" t="s">
        <v>578</v>
      </c>
      <c r="G273" s="14" t="s">
        <v>579</v>
      </c>
      <c r="H273" s="13" t="s">
        <v>9</v>
      </c>
      <c r="I273" s="14" t="s">
        <v>109</v>
      </c>
      <c r="J273" s="28">
        <v>55</v>
      </c>
      <c r="K273" s="13" t="s">
        <v>45</v>
      </c>
      <c r="L273" s="15">
        <v>93250000</v>
      </c>
      <c r="M273" s="16"/>
      <c r="N273" s="17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</row>
    <row r="274" spans="1:67" s="3" customFormat="1" x14ac:dyDescent="0.2">
      <c r="A274" s="14" t="s">
        <v>2986</v>
      </c>
      <c r="B274" s="14" t="s">
        <v>18</v>
      </c>
      <c r="C274" s="14">
        <v>2025</v>
      </c>
      <c r="D274" s="14" t="str">
        <f t="array" ref="D274">_xlfn.SWITCH(E274,"Bagor","35.18.14","Sukomoro",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4" s="13" t="s">
        <v>72</v>
      </c>
      <c r="F274" s="14" t="s">
        <v>179</v>
      </c>
      <c r="G274" s="14" t="s">
        <v>580</v>
      </c>
      <c r="H274" s="13" t="s">
        <v>9</v>
      </c>
      <c r="I274" s="14" t="s">
        <v>181</v>
      </c>
      <c r="J274" s="28">
        <v>118000</v>
      </c>
      <c r="K274" s="13" t="s">
        <v>581</v>
      </c>
      <c r="L274" s="15">
        <v>236000000</v>
      </c>
      <c r="M274" s="16"/>
      <c r="N274" s="17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</row>
    <row r="275" spans="1:67" s="3" customFormat="1" x14ac:dyDescent="0.2">
      <c r="A275" s="14" t="s">
        <v>2986</v>
      </c>
      <c r="B275" s="14" t="s">
        <v>18</v>
      </c>
      <c r="C275" s="14">
        <v>2025</v>
      </c>
      <c r="D275" s="14" t="str">
        <f t="array" ref="D275">_xlfn.SWITCH(E275,"Bagor","35.18.14","Sukomoro",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5" s="13" t="s">
        <v>72</v>
      </c>
      <c r="F275" s="14" t="s">
        <v>179</v>
      </c>
      <c r="G275" s="14" t="s">
        <v>582</v>
      </c>
      <c r="H275" s="13" t="s">
        <v>9</v>
      </c>
      <c r="I275" s="14" t="s">
        <v>181</v>
      </c>
      <c r="J275" s="28">
        <v>165000</v>
      </c>
      <c r="K275" s="13" t="s">
        <v>581</v>
      </c>
      <c r="L275" s="15">
        <v>346500000</v>
      </c>
      <c r="M275" s="16"/>
      <c r="N275" s="17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</row>
    <row r="276" spans="1:67" s="3" customFormat="1" x14ac:dyDescent="0.2">
      <c r="A276" s="14" t="s">
        <v>2986</v>
      </c>
      <c r="B276" s="14" t="s">
        <v>18</v>
      </c>
      <c r="C276" s="14">
        <v>2025</v>
      </c>
      <c r="D276" s="14" t="str">
        <f t="array" ref="D276">_xlfn.SWITCH(E276,"Bagor","35.18.14","Sukomoro",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6" s="13" t="s">
        <v>72</v>
      </c>
      <c r="F276" s="14" t="s">
        <v>179</v>
      </c>
      <c r="G276" s="14" t="s">
        <v>33</v>
      </c>
      <c r="H276" s="13" t="s">
        <v>9</v>
      </c>
      <c r="I276" s="14" t="s">
        <v>181</v>
      </c>
      <c r="J276" s="28">
        <v>190000</v>
      </c>
      <c r="K276" s="13" t="s">
        <v>581</v>
      </c>
      <c r="L276" s="15">
        <v>418000000</v>
      </c>
      <c r="M276" s="16"/>
      <c r="N276" s="17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</row>
    <row r="277" spans="1:67" s="3" customFormat="1" x14ac:dyDescent="0.2">
      <c r="A277" s="14" t="s">
        <v>2986</v>
      </c>
      <c r="B277" s="14" t="s">
        <v>18</v>
      </c>
      <c r="C277" s="14">
        <v>2025</v>
      </c>
      <c r="D277" s="14" t="str">
        <f t="array" ref="D277">_xlfn.SWITCH(E277,"Bagor","35.18.14","Sukomoro",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7" s="13" t="s">
        <v>583</v>
      </c>
      <c r="F277" s="14" t="s">
        <v>583</v>
      </c>
      <c r="G277" s="14" t="s">
        <v>584</v>
      </c>
      <c r="H277" s="13" t="s">
        <v>9</v>
      </c>
      <c r="I277" s="14" t="s">
        <v>585</v>
      </c>
      <c r="J277" s="28" t="s">
        <v>528</v>
      </c>
      <c r="K277" s="13" t="s">
        <v>45</v>
      </c>
      <c r="L277" s="15">
        <v>32500000</v>
      </c>
      <c r="M277" s="16"/>
      <c r="N277" s="17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</row>
    <row r="278" spans="1:67" s="3" customFormat="1" x14ac:dyDescent="0.2">
      <c r="A278" s="14" t="s">
        <v>2986</v>
      </c>
      <c r="B278" s="14" t="s">
        <v>18</v>
      </c>
      <c r="C278" s="14">
        <v>2025</v>
      </c>
      <c r="D278" s="14" t="str">
        <f t="array" ref="D278">_xlfn.SWITCH(E278,"Bagor","35.18.14","Sukomoro",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8" s="13" t="s">
        <v>583</v>
      </c>
      <c r="F278" s="14" t="s">
        <v>586</v>
      </c>
      <c r="G278" s="14" t="s">
        <v>587</v>
      </c>
      <c r="H278" s="13" t="s">
        <v>9</v>
      </c>
      <c r="I278" s="14" t="s">
        <v>585</v>
      </c>
      <c r="J278" s="28" t="s">
        <v>522</v>
      </c>
      <c r="K278" s="13" t="s">
        <v>45</v>
      </c>
      <c r="L278" s="15">
        <v>61500000</v>
      </c>
      <c r="M278" s="16"/>
      <c r="N278" s="17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</row>
    <row r="279" spans="1:67" s="3" customFormat="1" x14ac:dyDescent="0.2">
      <c r="A279" s="14" t="s">
        <v>2986</v>
      </c>
      <c r="B279" s="14" t="s">
        <v>18</v>
      </c>
      <c r="C279" s="14">
        <v>2025</v>
      </c>
      <c r="D279" s="14" t="str">
        <f t="array" ref="D279">_xlfn.SWITCH(E279,"Bagor","35.18.14","Sukomoro",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9" s="13" t="s">
        <v>583</v>
      </c>
      <c r="F279" s="14" t="s">
        <v>583</v>
      </c>
      <c r="G279" s="14" t="s">
        <v>588</v>
      </c>
      <c r="H279" s="13" t="s">
        <v>9</v>
      </c>
      <c r="I279" s="14" t="s">
        <v>585</v>
      </c>
      <c r="J279" s="28">
        <v>14</v>
      </c>
      <c r="K279" s="13" t="s">
        <v>45</v>
      </c>
      <c r="L279" s="15">
        <v>49500000</v>
      </c>
      <c r="M279" s="16"/>
      <c r="N279" s="17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</row>
    <row r="280" spans="1:67" s="3" customFormat="1" x14ac:dyDescent="0.2">
      <c r="A280" s="14" t="s">
        <v>2986</v>
      </c>
      <c r="B280" s="14" t="s">
        <v>18</v>
      </c>
      <c r="C280" s="14">
        <v>2025</v>
      </c>
      <c r="D280" s="14" t="str">
        <f t="array" ref="D280">_xlfn.SWITCH(E280,"Bagor","35.18.14","Sukomoro",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0" s="13" t="s">
        <v>583</v>
      </c>
      <c r="F280" s="14" t="s">
        <v>583</v>
      </c>
      <c r="G280" s="14" t="s">
        <v>589</v>
      </c>
      <c r="H280" s="13" t="s">
        <v>9</v>
      </c>
      <c r="I280" s="14" t="s">
        <v>590</v>
      </c>
      <c r="J280" s="28">
        <v>245</v>
      </c>
      <c r="K280" s="13" t="s">
        <v>45</v>
      </c>
      <c r="L280" s="15">
        <v>135000000</v>
      </c>
      <c r="M280" s="16"/>
      <c r="N280" s="17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</row>
    <row r="281" spans="1:67" s="3" customFormat="1" x14ac:dyDescent="0.2">
      <c r="A281" s="14" t="s">
        <v>2986</v>
      </c>
      <c r="B281" s="14" t="s">
        <v>18</v>
      </c>
      <c r="C281" s="14">
        <v>2025</v>
      </c>
      <c r="D281" s="14" t="str">
        <f t="array" ref="D281">_xlfn.SWITCH(E281,"Bagor","35.18.14","Sukomoro",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1" s="13" t="s">
        <v>583</v>
      </c>
      <c r="F281" s="14" t="s">
        <v>586</v>
      </c>
      <c r="G281" s="14" t="s">
        <v>426</v>
      </c>
      <c r="H281" s="13" t="s">
        <v>9</v>
      </c>
      <c r="I281" s="14" t="s">
        <v>590</v>
      </c>
      <c r="J281" s="28">
        <v>112</v>
      </c>
      <c r="K281" s="13" t="s">
        <v>45</v>
      </c>
      <c r="L281" s="15">
        <v>75000000</v>
      </c>
      <c r="M281" s="16"/>
      <c r="N281" s="17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</row>
    <row r="282" spans="1:67" s="3" customFormat="1" x14ac:dyDescent="0.2">
      <c r="A282" s="14" t="s">
        <v>2986</v>
      </c>
      <c r="B282" s="14" t="s">
        <v>18</v>
      </c>
      <c r="C282" s="14">
        <v>2025</v>
      </c>
      <c r="D282" s="14" t="str">
        <f t="array" ref="D282">_xlfn.SWITCH(E282,"Bagor","35.18.14","Sukomoro",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2" s="13" t="s">
        <v>583</v>
      </c>
      <c r="F282" s="14" t="s">
        <v>208</v>
      </c>
      <c r="G282" s="14" t="s">
        <v>591</v>
      </c>
      <c r="H282" s="13" t="s">
        <v>9</v>
      </c>
      <c r="I282" s="14" t="s">
        <v>590</v>
      </c>
      <c r="J282" s="28">
        <v>150</v>
      </c>
      <c r="K282" s="13" t="s">
        <v>45</v>
      </c>
      <c r="L282" s="15">
        <v>92000000</v>
      </c>
      <c r="M282" s="16"/>
      <c r="N282" s="17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</row>
    <row r="283" spans="1:67" s="3" customFormat="1" x14ac:dyDescent="0.2">
      <c r="A283" s="14" t="s">
        <v>2986</v>
      </c>
      <c r="B283" s="14" t="s">
        <v>18</v>
      </c>
      <c r="C283" s="14">
        <v>2025</v>
      </c>
      <c r="D283" s="14" t="str">
        <f t="array" ref="D283">_xlfn.SWITCH(E283,"Bagor","35.18.14","Sukomoro",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3" s="13" t="s">
        <v>583</v>
      </c>
      <c r="F283" s="14" t="s">
        <v>586</v>
      </c>
      <c r="G283" s="14" t="s">
        <v>592</v>
      </c>
      <c r="H283" s="13" t="s">
        <v>9</v>
      </c>
      <c r="I283" s="14" t="s">
        <v>590</v>
      </c>
      <c r="J283" s="28">
        <v>182</v>
      </c>
      <c r="K283" s="13" t="s">
        <v>45</v>
      </c>
      <c r="L283" s="15">
        <v>112000000</v>
      </c>
      <c r="M283" s="16"/>
      <c r="N283" s="17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</row>
    <row r="284" spans="1:67" s="3" customFormat="1" x14ac:dyDescent="0.2">
      <c r="A284" s="14" t="s">
        <v>2986</v>
      </c>
      <c r="B284" s="14" t="s">
        <v>18</v>
      </c>
      <c r="C284" s="14">
        <v>2025</v>
      </c>
      <c r="D284" s="14" t="str">
        <f t="array" ref="D284">_xlfn.SWITCH(E284,"Bagor","35.18.14","Sukomoro",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4" s="13" t="s">
        <v>583</v>
      </c>
      <c r="F284" s="14" t="s">
        <v>586</v>
      </c>
      <c r="G284" s="14" t="s">
        <v>593</v>
      </c>
      <c r="H284" s="13" t="s">
        <v>9</v>
      </c>
      <c r="I284" s="14" t="s">
        <v>590</v>
      </c>
      <c r="J284" s="28">
        <v>182</v>
      </c>
      <c r="K284" s="13" t="s">
        <v>45</v>
      </c>
      <c r="L284" s="15">
        <v>112000000</v>
      </c>
      <c r="M284" s="16"/>
      <c r="N284" s="17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</row>
    <row r="285" spans="1:67" s="3" customFormat="1" x14ac:dyDescent="0.2">
      <c r="A285" s="14" t="s">
        <v>2986</v>
      </c>
      <c r="B285" s="14" t="s">
        <v>18</v>
      </c>
      <c r="C285" s="14">
        <v>2025</v>
      </c>
      <c r="D285" s="14" t="str">
        <f t="array" ref="D285">_xlfn.SWITCH(E285,"Bagor","35.18.14","Sukomoro",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5" s="13" t="s">
        <v>583</v>
      </c>
      <c r="F285" s="14" t="s">
        <v>586</v>
      </c>
      <c r="G285" s="14" t="s">
        <v>594</v>
      </c>
      <c r="H285" s="13" t="s">
        <v>9</v>
      </c>
      <c r="I285" s="14" t="s">
        <v>590</v>
      </c>
      <c r="J285" s="28">
        <v>212</v>
      </c>
      <c r="K285" s="13" t="s">
        <v>45</v>
      </c>
      <c r="L285" s="15">
        <v>121000000</v>
      </c>
      <c r="M285" s="16"/>
      <c r="N285" s="17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</row>
    <row r="286" spans="1:67" s="3" customFormat="1" x14ac:dyDescent="0.2">
      <c r="A286" s="14" t="s">
        <v>2986</v>
      </c>
      <c r="B286" s="14" t="s">
        <v>18</v>
      </c>
      <c r="C286" s="14">
        <v>2025</v>
      </c>
      <c r="D286" s="14" t="str">
        <f t="array" ref="D286">_xlfn.SWITCH(E286,"Bagor","35.18.14","Sukomoro",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6" s="13" t="s">
        <v>583</v>
      </c>
      <c r="F286" s="14" t="s">
        <v>586</v>
      </c>
      <c r="G286" s="14" t="s">
        <v>595</v>
      </c>
      <c r="H286" s="13" t="s">
        <v>9</v>
      </c>
      <c r="I286" s="14" t="s">
        <v>590</v>
      </c>
      <c r="J286" s="28" t="s">
        <v>596</v>
      </c>
      <c r="K286" s="13" t="s">
        <v>45</v>
      </c>
      <c r="L286" s="15">
        <v>128000000</v>
      </c>
      <c r="M286" s="16"/>
      <c r="N286" s="17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</row>
    <row r="287" spans="1:67" s="3" customFormat="1" x14ac:dyDescent="0.2">
      <c r="A287" s="14" t="s">
        <v>2986</v>
      </c>
      <c r="B287" s="14" t="s">
        <v>18</v>
      </c>
      <c r="C287" s="14">
        <v>2025</v>
      </c>
      <c r="D287" s="14" t="str">
        <f t="array" ref="D287">_xlfn.SWITCH(E287,"Bagor","35.18.14","Sukomoro",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7" s="13" t="s">
        <v>583</v>
      </c>
      <c r="F287" s="14" t="s">
        <v>208</v>
      </c>
      <c r="G287" s="14" t="s">
        <v>597</v>
      </c>
      <c r="H287" s="13" t="s">
        <v>9</v>
      </c>
      <c r="I287" s="14" t="s">
        <v>590</v>
      </c>
      <c r="J287" s="28">
        <v>132</v>
      </c>
      <c r="K287" s="13" t="s">
        <v>45</v>
      </c>
      <c r="L287" s="15">
        <v>86600000</v>
      </c>
      <c r="M287" s="16"/>
      <c r="N287" s="17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</row>
    <row r="288" spans="1:67" s="3" customFormat="1" x14ac:dyDescent="0.2">
      <c r="A288" s="14" t="s">
        <v>2986</v>
      </c>
      <c r="B288" s="14" t="s">
        <v>18</v>
      </c>
      <c r="C288" s="14">
        <v>2025</v>
      </c>
      <c r="D288" s="14" t="str">
        <f t="array" ref="D288">_xlfn.SWITCH(E288,"Bagor","35.18.14","Sukomoro",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8" s="13" t="s">
        <v>583</v>
      </c>
      <c r="F288" s="14" t="s">
        <v>598</v>
      </c>
      <c r="G288" s="14" t="s">
        <v>599</v>
      </c>
      <c r="H288" s="13" t="s">
        <v>9</v>
      </c>
      <c r="I288" s="14" t="s">
        <v>590</v>
      </c>
      <c r="J288" s="28">
        <v>132</v>
      </c>
      <c r="K288" s="13" t="s">
        <v>45</v>
      </c>
      <c r="L288" s="15">
        <v>86600000</v>
      </c>
      <c r="M288" s="16"/>
      <c r="N288" s="17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</row>
    <row r="289" spans="1:67" s="3" customFormat="1" x14ac:dyDescent="0.2">
      <c r="A289" s="14" t="s">
        <v>2986</v>
      </c>
      <c r="B289" s="14" t="s">
        <v>18</v>
      </c>
      <c r="C289" s="14">
        <v>2025</v>
      </c>
      <c r="D289" s="14" t="str">
        <f t="array" ref="D289">_xlfn.SWITCH(E289,"Bagor","35.18.14","Sukomoro",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89" s="13" t="s">
        <v>98</v>
      </c>
      <c r="F289" s="14" t="s">
        <v>600</v>
      </c>
      <c r="G289" s="14" t="s">
        <v>601</v>
      </c>
      <c r="H289" s="13" t="s">
        <v>43</v>
      </c>
      <c r="I289" s="14" t="s">
        <v>61</v>
      </c>
      <c r="J289" s="28">
        <v>653</v>
      </c>
      <c r="K289" s="13" t="s">
        <v>135</v>
      </c>
      <c r="L289" s="15">
        <v>291110000</v>
      </c>
      <c r="M289" s="16"/>
      <c r="N289" s="17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</row>
    <row r="290" spans="1:67" s="3" customFormat="1" x14ac:dyDescent="0.2">
      <c r="A290" s="14" t="s">
        <v>2986</v>
      </c>
      <c r="B290" s="14" t="s">
        <v>18</v>
      </c>
      <c r="C290" s="14">
        <v>2025</v>
      </c>
      <c r="D290" s="14" t="str">
        <f t="array" ref="D290">_xlfn.SWITCH(E290,"Bagor","35.18.14","Sukomoro",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0" s="13" t="s">
        <v>98</v>
      </c>
      <c r="F290" s="14" t="s">
        <v>600</v>
      </c>
      <c r="G290" s="14" t="s">
        <v>602</v>
      </c>
      <c r="H290" s="13" t="s">
        <v>9</v>
      </c>
      <c r="I290" s="14" t="s">
        <v>61</v>
      </c>
      <c r="J290" s="28">
        <v>280</v>
      </c>
      <c r="K290" s="13" t="s">
        <v>135</v>
      </c>
      <c r="L290" s="15">
        <v>157953000</v>
      </c>
      <c r="M290" s="16"/>
      <c r="N290" s="17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</row>
    <row r="291" spans="1:67" s="3" customFormat="1" x14ac:dyDescent="0.2">
      <c r="A291" s="14" t="s">
        <v>2986</v>
      </c>
      <c r="B291" s="14" t="s">
        <v>18</v>
      </c>
      <c r="C291" s="14">
        <v>2025</v>
      </c>
      <c r="D291" s="14" t="str">
        <f t="array" ref="D291">_xlfn.SWITCH(E291,"Bagor","35.18.14","Sukomoro",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1" s="13" t="s">
        <v>98</v>
      </c>
      <c r="F291" s="14" t="s">
        <v>197</v>
      </c>
      <c r="G291" s="14" t="s">
        <v>603</v>
      </c>
      <c r="H291" s="13" t="s">
        <v>9</v>
      </c>
      <c r="I291" s="14" t="s">
        <v>61</v>
      </c>
      <c r="J291" s="28">
        <v>372</v>
      </c>
      <c r="K291" s="13" t="s">
        <v>135</v>
      </c>
      <c r="L291" s="15">
        <v>212578000</v>
      </c>
      <c r="M291" s="16"/>
      <c r="N291" s="17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</row>
    <row r="292" spans="1:67" s="3" customFormat="1" x14ac:dyDescent="0.2">
      <c r="A292" s="14" t="s">
        <v>2986</v>
      </c>
      <c r="B292" s="14" t="s">
        <v>18</v>
      </c>
      <c r="C292" s="14">
        <v>2025</v>
      </c>
      <c r="D292" s="14" t="str">
        <f t="array" ref="D292">_xlfn.SWITCH(E292,"Bagor","35.18.14","Sukomoro",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2" s="13" t="s">
        <v>98</v>
      </c>
      <c r="F292" s="14" t="s">
        <v>604</v>
      </c>
      <c r="G292" s="14" t="s">
        <v>605</v>
      </c>
      <c r="H292" s="13" t="s">
        <v>9</v>
      </c>
      <c r="I292" s="14" t="s">
        <v>109</v>
      </c>
      <c r="J292" s="28">
        <v>52</v>
      </c>
      <c r="K292" s="13" t="s">
        <v>45</v>
      </c>
      <c r="L292" s="15">
        <v>89800000</v>
      </c>
      <c r="M292" s="16"/>
      <c r="N292" s="17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</row>
    <row r="293" spans="1:67" s="3" customFormat="1" x14ac:dyDescent="0.2">
      <c r="A293" s="14" t="s">
        <v>2986</v>
      </c>
      <c r="B293" s="14" t="s">
        <v>18</v>
      </c>
      <c r="C293" s="14">
        <v>2025</v>
      </c>
      <c r="D293" s="14" t="str">
        <f t="array" ref="D293">_xlfn.SWITCH(E293,"Bagor","35.18.14","Sukomoro",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3" s="13" t="s">
        <v>98</v>
      </c>
      <c r="F293" s="14" t="s">
        <v>604</v>
      </c>
      <c r="G293" s="14" t="s">
        <v>606</v>
      </c>
      <c r="H293" s="13" t="s">
        <v>9</v>
      </c>
      <c r="I293" s="14" t="s">
        <v>109</v>
      </c>
      <c r="J293" s="28">
        <v>48</v>
      </c>
      <c r="K293" s="13" t="s">
        <v>45</v>
      </c>
      <c r="L293" s="15">
        <v>85200000</v>
      </c>
      <c r="M293" s="16"/>
      <c r="N293" s="17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</row>
    <row r="294" spans="1:67" s="3" customFormat="1" x14ac:dyDescent="0.2">
      <c r="A294" s="14" t="s">
        <v>2986</v>
      </c>
      <c r="B294" s="14" t="s">
        <v>18</v>
      </c>
      <c r="C294" s="14">
        <v>2025</v>
      </c>
      <c r="D294" s="14" t="str">
        <f t="array" ref="D294">_xlfn.SWITCH(E294,"Bagor","35.18.14","Sukomoro",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4" s="13" t="s">
        <v>98</v>
      </c>
      <c r="F294" s="14" t="s">
        <v>604</v>
      </c>
      <c r="G294" s="14" t="s">
        <v>607</v>
      </c>
      <c r="H294" s="13" t="s">
        <v>9</v>
      </c>
      <c r="I294" s="14" t="s">
        <v>109</v>
      </c>
      <c r="J294" s="28">
        <v>52</v>
      </c>
      <c r="K294" s="13" t="s">
        <v>45</v>
      </c>
      <c r="L294" s="15">
        <v>91800000</v>
      </c>
      <c r="M294" s="16"/>
      <c r="N294" s="17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</row>
    <row r="295" spans="1:67" s="3" customFormat="1" x14ac:dyDescent="0.2">
      <c r="A295" s="14" t="s">
        <v>2986</v>
      </c>
      <c r="B295" s="14" t="s">
        <v>18</v>
      </c>
      <c r="C295" s="14">
        <v>2025</v>
      </c>
      <c r="D295" s="14" t="str">
        <f t="array" ref="D295">_xlfn.SWITCH(E295,"Bagor","35.18.14","Sukomoro",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5" s="13" t="s">
        <v>98</v>
      </c>
      <c r="F295" s="14" t="s">
        <v>119</v>
      </c>
      <c r="G295" s="14" t="s">
        <v>608</v>
      </c>
      <c r="H295" s="13" t="s">
        <v>9</v>
      </c>
      <c r="I295" s="14" t="s">
        <v>109</v>
      </c>
      <c r="J295" s="28">
        <v>38</v>
      </c>
      <c r="K295" s="13" t="s">
        <v>45</v>
      </c>
      <c r="L295" s="15">
        <v>73700000</v>
      </c>
      <c r="M295" s="16"/>
      <c r="N295" s="17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</row>
    <row r="296" spans="1:67" s="3" customFormat="1" x14ac:dyDescent="0.2">
      <c r="A296" s="14" t="s">
        <v>2986</v>
      </c>
      <c r="B296" s="14" t="s">
        <v>18</v>
      </c>
      <c r="C296" s="14">
        <v>2025</v>
      </c>
      <c r="D296" s="14" t="str">
        <f t="array" ref="D296">_xlfn.SWITCH(E296,"Bagor","35.18.14","Sukomoro",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6" s="13" t="s">
        <v>91</v>
      </c>
      <c r="F296" s="14" t="s">
        <v>609</v>
      </c>
      <c r="G296" s="14" t="s">
        <v>464</v>
      </c>
      <c r="H296" s="13" t="s">
        <v>9</v>
      </c>
      <c r="I296" s="14" t="s">
        <v>397</v>
      </c>
      <c r="J296" s="28" t="s">
        <v>610</v>
      </c>
      <c r="K296" s="13" t="s">
        <v>45</v>
      </c>
      <c r="L296" s="15">
        <v>63500000</v>
      </c>
      <c r="M296" s="16"/>
      <c r="N296" s="17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</row>
    <row r="297" spans="1:67" s="3" customFormat="1" x14ac:dyDescent="0.2">
      <c r="A297" s="14" t="s">
        <v>2986</v>
      </c>
      <c r="B297" s="14" t="s">
        <v>18</v>
      </c>
      <c r="C297" s="14">
        <v>2025</v>
      </c>
      <c r="D297" s="14" t="str">
        <f t="array" ref="D297">_xlfn.SWITCH(E297,"Bagor","35.18.14","Sukomoro",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7" s="13" t="s">
        <v>91</v>
      </c>
      <c r="F297" s="14" t="s">
        <v>609</v>
      </c>
      <c r="G297" s="14" t="s">
        <v>611</v>
      </c>
      <c r="H297" s="13" t="s">
        <v>9</v>
      </c>
      <c r="I297" s="14" t="s">
        <v>109</v>
      </c>
      <c r="J297" s="28">
        <v>80</v>
      </c>
      <c r="K297" s="13" t="s">
        <v>45</v>
      </c>
      <c r="L297" s="15">
        <v>172000000</v>
      </c>
      <c r="M297" s="16"/>
      <c r="N297" s="17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</row>
    <row r="298" spans="1:67" s="3" customFormat="1" x14ac:dyDescent="0.2">
      <c r="A298" s="14" t="s">
        <v>2986</v>
      </c>
      <c r="B298" s="14" t="s">
        <v>18</v>
      </c>
      <c r="C298" s="14">
        <v>2025</v>
      </c>
      <c r="D298" s="14" t="str">
        <f t="array" ref="D298">_xlfn.SWITCH(E298,"Bagor","35.18.14","Sukomoro",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8" s="13" t="s">
        <v>91</v>
      </c>
      <c r="F298" s="14" t="s">
        <v>91</v>
      </c>
      <c r="G298" s="14" t="s">
        <v>612</v>
      </c>
      <c r="H298" s="13" t="s">
        <v>20</v>
      </c>
      <c r="I298" s="14" t="s">
        <v>21</v>
      </c>
      <c r="J298" s="28">
        <v>66</v>
      </c>
      <c r="K298" s="13" t="s">
        <v>135</v>
      </c>
      <c r="L298" s="15">
        <v>16250000</v>
      </c>
      <c r="M298" s="16"/>
      <c r="N298" s="17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</row>
    <row r="299" spans="1:67" s="3" customFormat="1" x14ac:dyDescent="0.2">
      <c r="A299" s="14" t="s">
        <v>2986</v>
      </c>
      <c r="B299" s="14" t="s">
        <v>18</v>
      </c>
      <c r="C299" s="14">
        <v>2025</v>
      </c>
      <c r="D299" s="14" t="str">
        <f t="array" ref="D299">_xlfn.SWITCH(E299,"Bagor","35.18.14","Sukomoro",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299" s="13" t="s">
        <v>102</v>
      </c>
      <c r="F299" s="14" t="s">
        <v>613</v>
      </c>
      <c r="G299" s="14" t="s">
        <v>426</v>
      </c>
      <c r="H299" s="13" t="s">
        <v>9</v>
      </c>
      <c r="I299" s="14" t="s">
        <v>109</v>
      </c>
      <c r="J299" s="27">
        <v>40</v>
      </c>
      <c r="K299" s="13" t="s">
        <v>45</v>
      </c>
      <c r="L299" s="15">
        <v>76000000</v>
      </c>
      <c r="M299" s="16"/>
      <c r="N299" s="17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</row>
    <row r="300" spans="1:67" s="3" customFormat="1" x14ac:dyDescent="0.2">
      <c r="A300" s="14" t="s">
        <v>2986</v>
      </c>
      <c r="B300" s="14" t="s">
        <v>18</v>
      </c>
      <c r="C300" s="14">
        <v>2025</v>
      </c>
      <c r="D300" s="14" t="str">
        <f t="array" ref="D300">_xlfn.SWITCH(E300,"Bagor","35.18.14","Sukomoro",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0" s="13" t="s">
        <v>102</v>
      </c>
      <c r="F300" s="14" t="s">
        <v>614</v>
      </c>
      <c r="G300" s="14" t="s">
        <v>615</v>
      </c>
      <c r="H300" s="13" t="s">
        <v>9</v>
      </c>
      <c r="I300" s="14" t="s">
        <v>106</v>
      </c>
      <c r="J300" s="35">
        <v>7.5</v>
      </c>
      <c r="K300" s="13" t="s">
        <v>45</v>
      </c>
      <c r="L300" s="15">
        <v>45000000</v>
      </c>
      <c r="M300" s="16"/>
      <c r="N300" s="17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</row>
    <row r="301" spans="1:67" s="3" customFormat="1" x14ac:dyDescent="0.2">
      <c r="A301" s="14" t="s">
        <v>2986</v>
      </c>
      <c r="B301" s="14" t="s">
        <v>18</v>
      </c>
      <c r="C301" s="14">
        <v>2025</v>
      </c>
      <c r="D301" s="14" t="str">
        <f t="array" ref="D301">_xlfn.SWITCH(E301,"Bagor","35.18.14","Sukomoro",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1" s="13" t="s">
        <v>102</v>
      </c>
      <c r="F301" s="14" t="s">
        <v>616</v>
      </c>
      <c r="G301" s="14" t="s">
        <v>617</v>
      </c>
      <c r="H301" s="13" t="s">
        <v>20</v>
      </c>
      <c r="I301" s="14" t="s">
        <v>387</v>
      </c>
      <c r="J301" s="27">
        <v>41</v>
      </c>
      <c r="K301" s="13" t="s">
        <v>22</v>
      </c>
      <c r="L301" s="15">
        <v>47000000</v>
      </c>
      <c r="M301" s="16"/>
      <c r="N301" s="17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</row>
    <row r="302" spans="1:67" s="3" customFormat="1" x14ac:dyDescent="0.2">
      <c r="A302" s="14" t="s">
        <v>2986</v>
      </c>
      <c r="B302" s="14" t="s">
        <v>18</v>
      </c>
      <c r="C302" s="14">
        <v>2025</v>
      </c>
      <c r="D302" s="14" t="str">
        <f t="array" ref="D302">_xlfn.SWITCH(E302,"Bagor","35.18.14","Sukomoro",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2" s="13" t="s">
        <v>102</v>
      </c>
      <c r="F302" s="14" t="s">
        <v>618</v>
      </c>
      <c r="G302" s="14" t="s">
        <v>619</v>
      </c>
      <c r="H302" s="13" t="s">
        <v>9</v>
      </c>
      <c r="I302" s="14" t="s">
        <v>100</v>
      </c>
      <c r="J302" s="27">
        <v>250</v>
      </c>
      <c r="K302" s="13" t="s">
        <v>45</v>
      </c>
      <c r="L302" s="15">
        <v>2575000000</v>
      </c>
      <c r="M302" s="16">
        <v>39735</v>
      </c>
      <c r="N302" s="17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</row>
    <row r="303" spans="1:67" s="3" customFormat="1" x14ac:dyDescent="0.2">
      <c r="A303" s="14" t="s">
        <v>2986</v>
      </c>
      <c r="B303" s="14" t="s">
        <v>18</v>
      </c>
      <c r="C303" s="14">
        <v>2025</v>
      </c>
      <c r="D303" s="14" t="str">
        <f t="array" ref="D303">_xlfn.SWITCH(E303,"Bagor","35.18.14","Sukomoro",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3" s="13" t="s">
        <v>102</v>
      </c>
      <c r="F303" s="14" t="s">
        <v>616</v>
      </c>
      <c r="G303" s="14" t="s">
        <v>620</v>
      </c>
      <c r="H303" s="13" t="s">
        <v>9</v>
      </c>
      <c r="I303" s="14" t="s">
        <v>109</v>
      </c>
      <c r="J303" s="27">
        <v>32</v>
      </c>
      <c r="K303" s="13" t="s">
        <v>45</v>
      </c>
      <c r="L303" s="15">
        <v>67120000</v>
      </c>
      <c r="M303" s="16"/>
      <c r="N303" s="17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</row>
    <row r="304" spans="1:67" s="3" customFormat="1" x14ac:dyDescent="0.2">
      <c r="A304" s="14" t="s">
        <v>2986</v>
      </c>
      <c r="B304" s="14" t="s">
        <v>18</v>
      </c>
      <c r="C304" s="14">
        <v>2025</v>
      </c>
      <c r="D304" s="14" t="str">
        <f t="array" ref="D304">_xlfn.SWITCH(E304,"Bagor","35.18.14","Sukomoro",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4" s="13" t="s">
        <v>102</v>
      </c>
      <c r="F304" s="14" t="s">
        <v>613</v>
      </c>
      <c r="G304" s="14" t="s">
        <v>621</v>
      </c>
      <c r="H304" s="13" t="s">
        <v>9</v>
      </c>
      <c r="I304" s="14" t="s">
        <v>109</v>
      </c>
      <c r="J304" s="27">
        <v>32</v>
      </c>
      <c r="K304" s="13" t="s">
        <v>45</v>
      </c>
      <c r="L304" s="15">
        <v>68120000</v>
      </c>
      <c r="M304" s="16"/>
      <c r="N304" s="17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</row>
    <row r="305" spans="1:67" s="3" customFormat="1" x14ac:dyDescent="0.2">
      <c r="A305" s="14" t="s">
        <v>2986</v>
      </c>
      <c r="B305" s="14" t="s">
        <v>18</v>
      </c>
      <c r="C305" s="14">
        <v>2025</v>
      </c>
      <c r="D305" s="14" t="str">
        <f t="array" ref="D305">_xlfn.SWITCH(E305,"Bagor","35.18.14","Sukomoro",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5" s="13" t="s">
        <v>102</v>
      </c>
      <c r="F305" s="14" t="s">
        <v>622</v>
      </c>
      <c r="G305" s="14" t="s">
        <v>512</v>
      </c>
      <c r="H305" s="13" t="s">
        <v>9</v>
      </c>
      <c r="I305" s="14" t="s">
        <v>109</v>
      </c>
      <c r="J305" s="27">
        <v>43</v>
      </c>
      <c r="K305" s="13" t="s">
        <v>45</v>
      </c>
      <c r="L305" s="15">
        <v>79250000</v>
      </c>
      <c r="M305" s="16"/>
      <c r="N305" s="17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</row>
    <row r="306" spans="1:67" s="3" customFormat="1" x14ac:dyDescent="0.2">
      <c r="A306" s="14" t="s">
        <v>2986</v>
      </c>
      <c r="B306" s="14" t="s">
        <v>18</v>
      </c>
      <c r="C306" s="14">
        <v>2025</v>
      </c>
      <c r="D306" s="14" t="str">
        <f t="array" ref="D306">_xlfn.SWITCH(E306,"Bagor","35.18.14","Sukomoro",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6" s="13" t="s">
        <v>102</v>
      </c>
      <c r="F306" s="14" t="s">
        <v>622</v>
      </c>
      <c r="G306" s="14" t="s">
        <v>623</v>
      </c>
      <c r="H306" s="13" t="s">
        <v>9</v>
      </c>
      <c r="I306" s="14" t="s">
        <v>109</v>
      </c>
      <c r="J306" s="27">
        <v>50</v>
      </c>
      <c r="K306" s="13" t="s">
        <v>45</v>
      </c>
      <c r="L306" s="15">
        <v>87500000</v>
      </c>
      <c r="M306" s="16"/>
      <c r="N306" s="17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</row>
    <row r="307" spans="1:67" s="3" customFormat="1" x14ac:dyDescent="0.2">
      <c r="A307" s="14" t="s">
        <v>2986</v>
      </c>
      <c r="B307" s="14" t="s">
        <v>18</v>
      </c>
      <c r="C307" s="14">
        <v>2025</v>
      </c>
      <c r="D307" s="14" t="str">
        <f t="array" ref="D307">_xlfn.SWITCH(E307,"Bagor","35.18.14","Sukomoro",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7" s="13" t="s">
        <v>102</v>
      </c>
      <c r="F307" s="14" t="s">
        <v>613</v>
      </c>
      <c r="G307" s="14" t="s">
        <v>624</v>
      </c>
      <c r="H307" s="13" t="s">
        <v>9</v>
      </c>
      <c r="I307" s="14" t="s">
        <v>109</v>
      </c>
      <c r="J307" s="27">
        <v>35</v>
      </c>
      <c r="K307" s="13" t="s">
        <v>45</v>
      </c>
      <c r="L307" s="15">
        <v>70250000</v>
      </c>
      <c r="M307" s="16"/>
      <c r="N307" s="17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</row>
    <row r="308" spans="1:67" s="3" customFormat="1" x14ac:dyDescent="0.2">
      <c r="A308" s="14" t="s">
        <v>2986</v>
      </c>
      <c r="B308" s="14" t="s">
        <v>18</v>
      </c>
      <c r="C308" s="14">
        <v>2025</v>
      </c>
      <c r="D308" s="14" t="str">
        <f t="array" ref="D308">_xlfn.SWITCH(E308,"Bagor","35.18.14","Sukomoro",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8" s="13" t="s">
        <v>102</v>
      </c>
      <c r="F308" s="14" t="s">
        <v>243</v>
      </c>
      <c r="G308" s="14" t="s">
        <v>625</v>
      </c>
      <c r="H308" s="13" t="s">
        <v>9</v>
      </c>
      <c r="I308" s="14" t="s">
        <v>626</v>
      </c>
      <c r="J308" s="27">
        <v>10000</v>
      </c>
      <c r="K308" s="13" t="s">
        <v>627</v>
      </c>
      <c r="L308" s="15">
        <v>30000000</v>
      </c>
      <c r="M308" s="16"/>
      <c r="N308" s="17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</row>
    <row r="309" spans="1:67" s="3" customFormat="1" x14ac:dyDescent="0.2">
      <c r="A309" s="14" t="s">
        <v>2986</v>
      </c>
      <c r="B309" s="14" t="s">
        <v>18</v>
      </c>
      <c r="C309" s="14">
        <v>2025</v>
      </c>
      <c r="D309" s="14" t="str">
        <f t="array" ref="D309">_xlfn.SWITCH(E309,"Bagor","35.18.14","Sukomoro",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9" s="13" t="s">
        <v>102</v>
      </c>
      <c r="F309" s="14" t="s">
        <v>618</v>
      </c>
      <c r="G309" s="14" t="s">
        <v>628</v>
      </c>
      <c r="H309" s="13" t="s">
        <v>9</v>
      </c>
      <c r="I309" s="14" t="s">
        <v>114</v>
      </c>
      <c r="J309" s="27">
        <v>31</v>
      </c>
      <c r="K309" s="13" t="s">
        <v>45</v>
      </c>
      <c r="L309" s="15">
        <v>38750000</v>
      </c>
      <c r="M309" s="16"/>
      <c r="N309" s="17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</row>
    <row r="310" spans="1:67" s="3" customFormat="1" x14ac:dyDescent="0.2">
      <c r="A310" s="14" t="s">
        <v>2986</v>
      </c>
      <c r="B310" s="14" t="s">
        <v>18</v>
      </c>
      <c r="C310" s="14">
        <v>2025</v>
      </c>
      <c r="D310" s="14" t="str">
        <f t="array" ref="D310">_xlfn.SWITCH(E310,"Bagor","35.18.14","Sukomoro",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0" s="13" t="s">
        <v>102</v>
      </c>
      <c r="F310" s="14" t="s">
        <v>613</v>
      </c>
      <c r="G310" s="14" t="s">
        <v>629</v>
      </c>
      <c r="H310" s="13" t="s">
        <v>9</v>
      </c>
      <c r="I310" s="14" t="s">
        <v>290</v>
      </c>
      <c r="J310" s="27">
        <v>33500</v>
      </c>
      <c r="K310" s="13" t="s">
        <v>94</v>
      </c>
      <c r="L310" s="15">
        <v>6750000</v>
      </c>
      <c r="M310" s="16"/>
      <c r="N310" s="17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</row>
    <row r="311" spans="1:67" s="3" customFormat="1" x14ac:dyDescent="0.2">
      <c r="A311" s="14" t="s">
        <v>2986</v>
      </c>
      <c r="B311" s="14" t="s">
        <v>18</v>
      </c>
      <c r="C311" s="14">
        <v>2025</v>
      </c>
      <c r="D311" s="14" t="str">
        <f t="array" ref="D311">_xlfn.SWITCH(E311,"Bagor","35.18.14","Sukomoro",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1" s="13" t="s">
        <v>102</v>
      </c>
      <c r="F311" s="14" t="s">
        <v>215</v>
      </c>
      <c r="G311" s="14" t="s">
        <v>630</v>
      </c>
      <c r="H311" s="13" t="s">
        <v>9</v>
      </c>
      <c r="I311" s="14" t="s">
        <v>290</v>
      </c>
      <c r="J311" s="27">
        <v>22500</v>
      </c>
      <c r="K311" s="13" t="s">
        <v>246</v>
      </c>
      <c r="L311" s="15">
        <v>4500000</v>
      </c>
      <c r="M311" s="16"/>
      <c r="N311" s="17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</row>
    <row r="312" spans="1:67" s="3" customFormat="1" x14ac:dyDescent="0.2">
      <c r="A312" s="14" t="s">
        <v>2986</v>
      </c>
      <c r="B312" s="14" t="s">
        <v>18</v>
      </c>
      <c r="C312" s="14">
        <v>2025</v>
      </c>
      <c r="D312" s="14" t="str">
        <f t="array" ref="D312">_xlfn.SWITCH(E312,"Bagor","35.18.14","Sukomoro",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2" s="13" t="s">
        <v>65</v>
      </c>
      <c r="F312" s="14" t="s">
        <v>571</v>
      </c>
      <c r="G312" s="14" t="s">
        <v>631</v>
      </c>
      <c r="H312" s="13" t="s">
        <v>9</v>
      </c>
      <c r="I312" s="14" t="s">
        <v>61</v>
      </c>
      <c r="J312" s="28">
        <v>33</v>
      </c>
      <c r="K312" s="13" t="s">
        <v>135</v>
      </c>
      <c r="L312" s="15">
        <v>14025000</v>
      </c>
      <c r="M312" s="16"/>
      <c r="N312" s="17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</row>
    <row r="313" spans="1:67" s="3" customFormat="1" x14ac:dyDescent="0.2">
      <c r="A313" s="14" t="s">
        <v>2986</v>
      </c>
      <c r="B313" s="14" t="s">
        <v>18</v>
      </c>
      <c r="C313" s="14">
        <v>2025</v>
      </c>
      <c r="D313" s="14" t="str">
        <f t="array" ref="D313">_xlfn.SWITCH(E313,"Bagor","35.18.14","Sukomoro",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3" s="13" t="s">
        <v>65</v>
      </c>
      <c r="F313" s="14" t="s">
        <v>632</v>
      </c>
      <c r="G313" s="14" t="s">
        <v>633</v>
      </c>
      <c r="H313" s="13" t="s">
        <v>9</v>
      </c>
      <c r="I313" s="14" t="s">
        <v>61</v>
      </c>
      <c r="J313" s="28">
        <v>91</v>
      </c>
      <c r="K313" s="13" t="s">
        <v>135</v>
      </c>
      <c r="L313" s="15">
        <v>38675000</v>
      </c>
      <c r="M313" s="16"/>
      <c r="N313" s="17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</row>
    <row r="314" spans="1:67" s="3" customFormat="1" x14ac:dyDescent="0.2">
      <c r="A314" s="14" t="s">
        <v>2986</v>
      </c>
      <c r="B314" s="14" t="s">
        <v>18</v>
      </c>
      <c r="C314" s="14">
        <v>2025</v>
      </c>
      <c r="D314" s="14" t="str">
        <f t="array" ref="D314">_xlfn.SWITCH(E314,"Bagor","35.18.14","Sukomoro",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4" s="13" t="s">
        <v>65</v>
      </c>
      <c r="F314" s="14" t="s">
        <v>145</v>
      </c>
      <c r="G314" s="14" t="s">
        <v>634</v>
      </c>
      <c r="H314" s="13" t="s">
        <v>9</v>
      </c>
      <c r="I314" s="14" t="s">
        <v>61</v>
      </c>
      <c r="J314" s="28">
        <v>85</v>
      </c>
      <c r="K314" s="13" t="s">
        <v>135</v>
      </c>
      <c r="L314" s="15">
        <v>36125000</v>
      </c>
      <c r="M314" s="16"/>
      <c r="N314" s="17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</row>
    <row r="315" spans="1:67" s="3" customFormat="1" x14ac:dyDescent="0.2">
      <c r="A315" s="14" t="s">
        <v>2986</v>
      </c>
      <c r="B315" s="14" t="s">
        <v>18</v>
      </c>
      <c r="C315" s="14">
        <v>2025</v>
      </c>
      <c r="D315" s="14" t="str">
        <f t="array" ref="D315">_xlfn.SWITCH(E315,"Bagor","35.18.14","Sukomoro",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5" s="13" t="s">
        <v>65</v>
      </c>
      <c r="F315" s="14" t="s">
        <v>145</v>
      </c>
      <c r="G315" s="14" t="s">
        <v>635</v>
      </c>
      <c r="H315" s="13" t="s">
        <v>9</v>
      </c>
      <c r="I315" s="14" t="s">
        <v>61</v>
      </c>
      <c r="J315" s="28">
        <v>81</v>
      </c>
      <c r="K315" s="13" t="s">
        <v>135</v>
      </c>
      <c r="L315" s="15">
        <v>45650000</v>
      </c>
      <c r="M315" s="16"/>
      <c r="N315" s="17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</row>
    <row r="316" spans="1:67" s="3" customFormat="1" x14ac:dyDescent="0.2">
      <c r="A316" s="14" t="s">
        <v>2986</v>
      </c>
      <c r="B316" s="14" t="s">
        <v>18</v>
      </c>
      <c r="C316" s="14">
        <v>2025</v>
      </c>
      <c r="D316" s="14" t="str">
        <f t="array" ref="D316">_xlfn.SWITCH(E316,"Bagor","35.18.14","Sukomoro",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6" s="13" t="s">
        <v>65</v>
      </c>
      <c r="F316" s="14" t="s">
        <v>95</v>
      </c>
      <c r="G316" s="14" t="s">
        <v>636</v>
      </c>
      <c r="H316" s="13" t="s">
        <v>9</v>
      </c>
      <c r="I316" s="14" t="s">
        <v>61</v>
      </c>
      <c r="J316" s="28">
        <v>120</v>
      </c>
      <c r="K316" s="13" t="s">
        <v>135</v>
      </c>
      <c r="L316" s="15">
        <v>46200000</v>
      </c>
      <c r="M316" s="16"/>
      <c r="N316" s="17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</row>
    <row r="317" spans="1:67" s="3" customFormat="1" x14ac:dyDescent="0.2">
      <c r="A317" s="14" t="s">
        <v>2986</v>
      </c>
      <c r="B317" s="14" t="s">
        <v>18</v>
      </c>
      <c r="C317" s="14">
        <v>2025</v>
      </c>
      <c r="D317" s="14" t="str">
        <f t="array" ref="D317">_xlfn.SWITCH(E317,"Bagor","35.18.14","Sukomoro",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7" s="13" t="s">
        <v>65</v>
      </c>
      <c r="F317" s="14" t="s">
        <v>95</v>
      </c>
      <c r="G317" s="14" t="s">
        <v>637</v>
      </c>
      <c r="H317" s="13" t="s">
        <v>9</v>
      </c>
      <c r="I317" s="14" t="s">
        <v>61</v>
      </c>
      <c r="J317" s="28" t="s">
        <v>638</v>
      </c>
      <c r="K317" s="13" t="s">
        <v>639</v>
      </c>
      <c r="L317" s="15">
        <v>526000000</v>
      </c>
      <c r="M317" s="16"/>
      <c r="N317" s="17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</row>
    <row r="318" spans="1:67" s="3" customFormat="1" x14ac:dyDescent="0.2">
      <c r="A318" s="14" t="s">
        <v>2986</v>
      </c>
      <c r="B318" s="14" t="s">
        <v>18</v>
      </c>
      <c r="C318" s="14">
        <v>2025</v>
      </c>
      <c r="D318" s="14" t="str">
        <f t="array" ref="D318">_xlfn.SWITCH(E318,"Bagor","35.18.14","Sukomoro",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8" s="13" t="s">
        <v>65</v>
      </c>
      <c r="F318" s="14" t="s">
        <v>640</v>
      </c>
      <c r="G318" s="14" t="s">
        <v>641</v>
      </c>
      <c r="H318" s="13" t="s">
        <v>9</v>
      </c>
      <c r="I318" s="14" t="s">
        <v>397</v>
      </c>
      <c r="J318" s="28">
        <v>30</v>
      </c>
      <c r="K318" s="13" t="s">
        <v>45</v>
      </c>
      <c r="L318" s="15">
        <v>92000000</v>
      </c>
      <c r="M318" s="16"/>
      <c r="N318" s="17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</row>
    <row r="319" spans="1:67" s="3" customFormat="1" x14ac:dyDescent="0.2">
      <c r="A319" s="14" t="s">
        <v>2986</v>
      </c>
      <c r="B319" s="14" t="s">
        <v>18</v>
      </c>
      <c r="C319" s="14">
        <v>2025</v>
      </c>
      <c r="D319" s="14" t="str">
        <f t="array" ref="D319">_xlfn.SWITCH(E319,"Bagor","35.18.14","Sukomoro",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9" s="13" t="s">
        <v>65</v>
      </c>
      <c r="F319" s="14" t="s">
        <v>640</v>
      </c>
      <c r="G319" s="14" t="s">
        <v>426</v>
      </c>
      <c r="H319" s="13" t="s">
        <v>9</v>
      </c>
      <c r="I319" s="14" t="s">
        <v>109</v>
      </c>
      <c r="J319" s="28">
        <v>30</v>
      </c>
      <c r="K319" s="13" t="s">
        <v>45</v>
      </c>
      <c r="L319" s="15">
        <v>64500000</v>
      </c>
      <c r="M319" s="16"/>
      <c r="N319" s="17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</row>
    <row r="320" spans="1:67" s="3" customFormat="1" x14ac:dyDescent="0.2">
      <c r="A320" s="14" t="s">
        <v>2986</v>
      </c>
      <c r="B320" s="14" t="s">
        <v>18</v>
      </c>
      <c r="C320" s="14">
        <v>2025</v>
      </c>
      <c r="D320" s="14" t="str">
        <f t="array" ref="D320">_xlfn.SWITCH(E320,"Bagor","35.18.14","Sukomoro",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0" s="13" t="s">
        <v>65</v>
      </c>
      <c r="F320" s="14" t="s">
        <v>642</v>
      </c>
      <c r="G320" s="14" t="s">
        <v>643</v>
      </c>
      <c r="H320" s="13" t="s">
        <v>9</v>
      </c>
      <c r="I320" s="14" t="s">
        <v>109</v>
      </c>
      <c r="J320" s="28">
        <v>30</v>
      </c>
      <c r="K320" s="13" t="s">
        <v>45</v>
      </c>
      <c r="L320" s="15">
        <v>65500000</v>
      </c>
      <c r="M320" s="16"/>
      <c r="N320" s="17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</row>
    <row r="321" spans="1:67" s="3" customFormat="1" x14ac:dyDescent="0.2">
      <c r="A321" s="14" t="s">
        <v>2986</v>
      </c>
      <c r="B321" s="14" t="s">
        <v>18</v>
      </c>
      <c r="C321" s="14">
        <v>2025</v>
      </c>
      <c r="D321" s="14" t="str">
        <f t="array" ref="D321">_xlfn.SWITCH(E321,"Bagor","35.18.14","Sukomoro",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1" s="13" t="s">
        <v>65</v>
      </c>
      <c r="F321" s="14" t="s">
        <v>183</v>
      </c>
      <c r="G321" s="14" t="s">
        <v>644</v>
      </c>
      <c r="H321" s="13" t="s">
        <v>9</v>
      </c>
      <c r="I321" s="14" t="s">
        <v>109</v>
      </c>
      <c r="J321" s="28">
        <v>30</v>
      </c>
      <c r="K321" s="13" t="s">
        <v>45</v>
      </c>
      <c r="L321" s="15">
        <v>65000000</v>
      </c>
      <c r="M321" s="16"/>
      <c r="N321" s="17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</row>
    <row r="322" spans="1:67" s="3" customFormat="1" x14ac:dyDescent="0.2">
      <c r="A322" s="14" t="s">
        <v>2986</v>
      </c>
      <c r="B322" s="14" t="s">
        <v>18</v>
      </c>
      <c r="C322" s="14">
        <v>2025</v>
      </c>
      <c r="D322" s="14" t="str">
        <f t="array" ref="D322">_xlfn.SWITCH(E322,"Bagor","35.18.14","Sukomoro",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2" s="13" t="s">
        <v>65</v>
      </c>
      <c r="F322" s="14" t="s">
        <v>65</v>
      </c>
      <c r="G322" s="14" t="s">
        <v>645</v>
      </c>
      <c r="H322" s="13" t="s">
        <v>9</v>
      </c>
      <c r="I322" s="14" t="s">
        <v>109</v>
      </c>
      <c r="J322" s="28">
        <v>30</v>
      </c>
      <c r="K322" s="13" t="s">
        <v>45</v>
      </c>
      <c r="L322" s="15">
        <v>64000000</v>
      </c>
      <c r="M322" s="16"/>
      <c r="N322" s="17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</row>
    <row r="323" spans="1:67" s="3" customFormat="1" x14ac:dyDescent="0.2">
      <c r="A323" s="14" t="s">
        <v>2986</v>
      </c>
      <c r="B323" s="14" t="s">
        <v>18</v>
      </c>
      <c r="C323" s="14">
        <v>2025</v>
      </c>
      <c r="D323" s="14" t="str">
        <f t="array" ref="D323">_xlfn.SWITCH(E323,"Bagor","35.18.14","Sukomoro",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3" s="13" t="s">
        <v>65</v>
      </c>
      <c r="F323" s="14" t="s">
        <v>632</v>
      </c>
      <c r="G323" s="14" t="s">
        <v>646</v>
      </c>
      <c r="H323" s="13" t="s">
        <v>9</v>
      </c>
      <c r="I323" s="14" t="s">
        <v>109</v>
      </c>
      <c r="J323" s="28">
        <v>30</v>
      </c>
      <c r="K323" s="13" t="s">
        <v>45</v>
      </c>
      <c r="L323" s="15">
        <v>64500000</v>
      </c>
      <c r="M323" s="16"/>
      <c r="N323" s="17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</row>
    <row r="324" spans="1:67" s="3" customFormat="1" x14ac:dyDescent="0.2">
      <c r="A324" s="14" t="s">
        <v>2986</v>
      </c>
      <c r="B324" s="14" t="s">
        <v>18</v>
      </c>
      <c r="C324" s="14">
        <v>2025</v>
      </c>
      <c r="D324" s="14" t="str">
        <f t="array" ref="D324">_xlfn.SWITCH(E324,"Bagor","35.18.14","Sukomoro",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4" s="13" t="s">
        <v>65</v>
      </c>
      <c r="F324" s="14" t="s">
        <v>236</v>
      </c>
      <c r="G324" s="14" t="s">
        <v>647</v>
      </c>
      <c r="H324" s="13" t="s">
        <v>9</v>
      </c>
      <c r="I324" s="14" t="s">
        <v>109</v>
      </c>
      <c r="J324" s="28">
        <v>30</v>
      </c>
      <c r="K324" s="13" t="s">
        <v>45</v>
      </c>
      <c r="L324" s="15">
        <v>63500000</v>
      </c>
      <c r="M324" s="16"/>
      <c r="N324" s="17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</row>
    <row r="325" spans="1:67" s="3" customFormat="1" x14ac:dyDescent="0.2">
      <c r="A325" s="14" t="s">
        <v>2986</v>
      </c>
      <c r="B325" s="14" t="s">
        <v>18</v>
      </c>
      <c r="C325" s="14">
        <v>2025</v>
      </c>
      <c r="D325" s="14" t="str">
        <f t="array" ref="D325">_xlfn.SWITCH(E325,"Bagor","35.18.14","Sukomoro",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5" s="13" t="s">
        <v>65</v>
      </c>
      <c r="F325" s="14" t="s">
        <v>236</v>
      </c>
      <c r="G325" s="14" t="s">
        <v>648</v>
      </c>
      <c r="H325" s="13" t="s">
        <v>9</v>
      </c>
      <c r="I325" s="14" t="s">
        <v>109</v>
      </c>
      <c r="J325" s="28">
        <v>30</v>
      </c>
      <c r="K325" s="13" t="s">
        <v>45</v>
      </c>
      <c r="L325" s="15">
        <v>65500000</v>
      </c>
      <c r="M325" s="16"/>
      <c r="N325" s="17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</row>
    <row r="326" spans="1:67" s="3" customFormat="1" x14ac:dyDescent="0.2">
      <c r="A326" s="14" t="s">
        <v>2986</v>
      </c>
      <c r="B326" s="14" t="s">
        <v>18</v>
      </c>
      <c r="C326" s="14">
        <v>2025</v>
      </c>
      <c r="D326" s="14" t="str">
        <f t="array" ref="D326">_xlfn.SWITCH(E326,"Bagor","35.18.14","Sukomoro",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6" s="13" t="s">
        <v>98</v>
      </c>
      <c r="F326" s="25" t="s">
        <v>649</v>
      </c>
      <c r="G326" s="25" t="s">
        <v>650</v>
      </c>
      <c r="H326" s="13" t="s">
        <v>9</v>
      </c>
      <c r="I326" s="14" t="s">
        <v>651</v>
      </c>
      <c r="J326" s="15">
        <v>10000</v>
      </c>
      <c r="K326" s="13" t="s">
        <v>652</v>
      </c>
      <c r="L326" s="15">
        <v>35000000</v>
      </c>
      <c r="M326" s="18">
        <v>2004</v>
      </c>
      <c r="N326" s="17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</row>
    <row r="327" spans="1:67" s="3" customFormat="1" x14ac:dyDescent="0.2">
      <c r="A327" s="14" t="s">
        <v>2986</v>
      </c>
      <c r="B327" s="14" t="s">
        <v>18</v>
      </c>
      <c r="C327" s="14">
        <v>2025</v>
      </c>
      <c r="D327" s="14" t="str">
        <f t="array" ref="D327">_xlfn.SWITCH(E327,"Bagor","35.18.14","Sukomoro",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7" s="13" t="s">
        <v>50</v>
      </c>
      <c r="F327" s="14" t="s">
        <v>297</v>
      </c>
      <c r="G327" s="14" t="s">
        <v>653</v>
      </c>
      <c r="H327" s="13" t="s">
        <v>20</v>
      </c>
      <c r="I327" s="14" t="s">
        <v>166</v>
      </c>
      <c r="J327" s="28">
        <v>50000</v>
      </c>
      <c r="K327" s="13" t="s">
        <v>627</v>
      </c>
      <c r="L327" s="15">
        <v>1750000000</v>
      </c>
      <c r="M327" s="16">
        <v>39490</v>
      </c>
      <c r="N327" s="17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</row>
    <row r="328" spans="1:67" s="3" customFormat="1" x14ac:dyDescent="0.2">
      <c r="A328" s="14" t="s">
        <v>2986</v>
      </c>
      <c r="B328" s="14" t="s">
        <v>18</v>
      </c>
      <c r="C328" s="14">
        <v>2025</v>
      </c>
      <c r="D328" s="14" t="str">
        <f t="array" ref="D328">_xlfn.SWITCH(E328,"Bagor","35.18.14","Sukomoro",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8" s="13" t="s">
        <v>50</v>
      </c>
      <c r="F328" s="14" t="s">
        <v>80</v>
      </c>
      <c r="G328" s="14" t="s">
        <v>654</v>
      </c>
      <c r="H328" s="13" t="s">
        <v>20</v>
      </c>
      <c r="I328" s="14" t="s">
        <v>21</v>
      </c>
      <c r="J328" s="28" t="s">
        <v>655</v>
      </c>
      <c r="K328" s="13" t="s">
        <v>333</v>
      </c>
      <c r="L328" s="15">
        <v>472000000</v>
      </c>
      <c r="M328" s="16"/>
      <c r="N328" s="17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</row>
    <row r="329" spans="1:67" s="3" customFormat="1" x14ac:dyDescent="0.2">
      <c r="A329" s="14" t="s">
        <v>2986</v>
      </c>
      <c r="B329" s="14" t="s">
        <v>18</v>
      </c>
      <c r="C329" s="14">
        <v>2025</v>
      </c>
      <c r="D329" s="14" t="str">
        <f t="array" ref="D329">_xlfn.SWITCH(E329,"Bagor","35.18.14","Sukomoro",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9" s="13" t="s">
        <v>50</v>
      </c>
      <c r="F329" s="14" t="s">
        <v>80</v>
      </c>
      <c r="G329" s="14" t="s">
        <v>656</v>
      </c>
      <c r="H329" s="13" t="s">
        <v>20</v>
      </c>
      <c r="I329" s="14" t="s">
        <v>21</v>
      </c>
      <c r="J329" s="28" t="s">
        <v>657</v>
      </c>
      <c r="K329" s="13" t="s">
        <v>333</v>
      </c>
      <c r="L329" s="15">
        <v>658650000</v>
      </c>
      <c r="M329" s="16"/>
      <c r="N329" s="17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</row>
    <row r="330" spans="1:67" s="3" customFormat="1" x14ac:dyDescent="0.2">
      <c r="A330" s="14" t="s">
        <v>2986</v>
      </c>
      <c r="B330" s="14" t="s">
        <v>18</v>
      </c>
      <c r="C330" s="14">
        <v>2025</v>
      </c>
      <c r="D330" s="14" t="str">
        <f t="array" ref="D330">_xlfn.SWITCH(E330,"Bagor","35.18.14","Sukomoro",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0" s="13" t="s">
        <v>50</v>
      </c>
      <c r="F330" s="14" t="s">
        <v>80</v>
      </c>
      <c r="G330" s="14" t="s">
        <v>658</v>
      </c>
      <c r="H330" s="13" t="s">
        <v>9</v>
      </c>
      <c r="I330" s="14" t="s">
        <v>659</v>
      </c>
      <c r="J330" s="28">
        <v>76</v>
      </c>
      <c r="K330" s="13" t="s">
        <v>45</v>
      </c>
      <c r="L330" s="15">
        <v>165000000</v>
      </c>
      <c r="M330" s="16"/>
      <c r="N330" s="17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</row>
    <row r="331" spans="1:67" s="3" customFormat="1" x14ac:dyDescent="0.2">
      <c r="A331" s="14" t="s">
        <v>2986</v>
      </c>
      <c r="B331" s="14" t="s">
        <v>18</v>
      </c>
      <c r="C331" s="14">
        <v>2025</v>
      </c>
      <c r="D331" s="14" t="str">
        <f t="array" ref="D331">_xlfn.SWITCH(E331,"Bagor","35.18.14","Sukomoro",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1" s="13" t="s">
        <v>50</v>
      </c>
      <c r="F331" s="14" t="s">
        <v>80</v>
      </c>
      <c r="G331" s="14" t="s">
        <v>660</v>
      </c>
      <c r="H331" s="13" t="s">
        <v>9</v>
      </c>
      <c r="I331" s="14" t="s">
        <v>659</v>
      </c>
      <c r="J331" s="28">
        <v>68</v>
      </c>
      <c r="K331" s="13" t="s">
        <v>45</v>
      </c>
      <c r="L331" s="15">
        <v>145000000</v>
      </c>
      <c r="M331" s="16"/>
      <c r="N331" s="17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</row>
    <row r="332" spans="1:67" s="3" customFormat="1" x14ac:dyDescent="0.2">
      <c r="A332" s="14" t="s">
        <v>2986</v>
      </c>
      <c r="B332" s="14" t="s">
        <v>18</v>
      </c>
      <c r="C332" s="14">
        <v>2025</v>
      </c>
      <c r="D332" s="14" t="str">
        <f t="array" ref="D332">_xlfn.SWITCH(E332,"Bagor","35.18.14","Sukomoro",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2" s="13" t="s">
        <v>50</v>
      </c>
      <c r="F332" s="14" t="s">
        <v>80</v>
      </c>
      <c r="G332" s="14" t="s">
        <v>81</v>
      </c>
      <c r="H332" s="13" t="s">
        <v>9</v>
      </c>
      <c r="I332" s="14" t="s">
        <v>659</v>
      </c>
      <c r="J332" s="28">
        <v>84</v>
      </c>
      <c r="K332" s="13" t="s">
        <v>45</v>
      </c>
      <c r="L332" s="15">
        <v>179000000</v>
      </c>
      <c r="M332" s="16"/>
      <c r="N332" s="17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</row>
    <row r="333" spans="1:67" s="3" customFormat="1" x14ac:dyDescent="0.2">
      <c r="A333" s="14" t="s">
        <v>2986</v>
      </c>
      <c r="B333" s="14" t="s">
        <v>18</v>
      </c>
      <c r="C333" s="14">
        <v>2025</v>
      </c>
      <c r="D333" s="14" t="str">
        <f t="array" ref="D333">_xlfn.SWITCH(E333,"Bagor","35.18.14","Sukomoro",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3" s="13" t="s">
        <v>50</v>
      </c>
      <c r="F333" s="14" t="s">
        <v>80</v>
      </c>
      <c r="G333" s="14" t="s">
        <v>661</v>
      </c>
      <c r="H333" s="13" t="s">
        <v>9</v>
      </c>
      <c r="I333" s="14" t="s">
        <v>659</v>
      </c>
      <c r="J333" s="28">
        <v>70</v>
      </c>
      <c r="K333" s="13" t="s">
        <v>45</v>
      </c>
      <c r="L333" s="15">
        <v>150000000</v>
      </c>
      <c r="M333" s="16"/>
      <c r="N333" s="17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</row>
    <row r="334" spans="1:67" s="3" customFormat="1" x14ac:dyDescent="0.2">
      <c r="A334" s="14" t="s">
        <v>2986</v>
      </c>
      <c r="B334" s="14" t="s">
        <v>18</v>
      </c>
      <c r="C334" s="14">
        <v>2025</v>
      </c>
      <c r="D334" s="14" t="str">
        <f t="array" ref="D334">_xlfn.SWITCH(E334,"Bagor","35.18.14","Sukomoro",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4" s="13" t="s">
        <v>50</v>
      </c>
      <c r="F334" s="14" t="s">
        <v>662</v>
      </c>
      <c r="G334" s="14" t="s">
        <v>663</v>
      </c>
      <c r="H334" s="13" t="s">
        <v>9</v>
      </c>
      <c r="I334" s="14" t="s">
        <v>659</v>
      </c>
      <c r="J334" s="28">
        <v>72</v>
      </c>
      <c r="K334" s="13" t="s">
        <v>45</v>
      </c>
      <c r="L334" s="15">
        <v>165000000</v>
      </c>
      <c r="M334" s="16"/>
      <c r="N334" s="17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</row>
    <row r="335" spans="1:67" s="3" customFormat="1" x14ac:dyDescent="0.2">
      <c r="A335" s="14" t="s">
        <v>2986</v>
      </c>
      <c r="B335" s="14" t="s">
        <v>18</v>
      </c>
      <c r="C335" s="14">
        <v>2025</v>
      </c>
      <c r="D335" s="14" t="str">
        <f t="array" ref="D335">_xlfn.SWITCH(E335,"Bagor","35.18.14","Sukomoro",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5" s="13" t="s">
        <v>50</v>
      </c>
      <c r="F335" s="14" t="s">
        <v>297</v>
      </c>
      <c r="G335" s="14" t="s">
        <v>331</v>
      </c>
      <c r="H335" s="13" t="s">
        <v>20</v>
      </c>
      <c r="I335" s="14" t="s">
        <v>166</v>
      </c>
      <c r="J335" s="28">
        <v>7500</v>
      </c>
      <c r="K335" s="13" t="s">
        <v>627</v>
      </c>
      <c r="L335" s="15">
        <v>185750000</v>
      </c>
      <c r="M335" s="16"/>
      <c r="N335" s="17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</row>
    <row r="336" spans="1:67" s="3" customFormat="1" x14ac:dyDescent="0.2">
      <c r="A336" s="14" t="s">
        <v>2986</v>
      </c>
      <c r="B336" s="14" t="s">
        <v>18</v>
      </c>
      <c r="C336" s="14">
        <v>2025</v>
      </c>
      <c r="D336" s="14" t="str">
        <f t="array" ref="D336">_xlfn.SWITCH(E336,"Bagor","35.18.14","Sukomoro",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6" s="13" t="s">
        <v>50</v>
      </c>
      <c r="F336" s="14" t="s">
        <v>664</v>
      </c>
      <c r="G336" s="14" t="s">
        <v>665</v>
      </c>
      <c r="H336" s="13" t="s">
        <v>20</v>
      </c>
      <c r="I336" s="14" t="s">
        <v>166</v>
      </c>
      <c r="J336" s="28">
        <v>6000</v>
      </c>
      <c r="K336" s="13" t="s">
        <v>627</v>
      </c>
      <c r="L336" s="15">
        <v>175000000</v>
      </c>
      <c r="M336" s="16"/>
      <c r="N336" s="17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</row>
    <row r="337" spans="1:67" s="3" customFormat="1" x14ac:dyDescent="0.2">
      <c r="A337" s="14" t="s">
        <v>2986</v>
      </c>
      <c r="B337" s="14" t="s">
        <v>18</v>
      </c>
      <c r="C337" s="14">
        <v>2025</v>
      </c>
      <c r="D337" s="14" t="str">
        <f t="array" ref="D337">_xlfn.SWITCH(E337,"Bagor","35.18.14","Sukomoro",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7" s="13" t="s">
        <v>50</v>
      </c>
      <c r="F337" s="14" t="s">
        <v>664</v>
      </c>
      <c r="G337" s="14" t="s">
        <v>666</v>
      </c>
      <c r="H337" s="13" t="s">
        <v>20</v>
      </c>
      <c r="I337" s="14" t="s">
        <v>21</v>
      </c>
      <c r="J337" s="28" t="s">
        <v>667</v>
      </c>
      <c r="K337" s="13" t="s">
        <v>339</v>
      </c>
      <c r="L337" s="15">
        <v>43000000</v>
      </c>
      <c r="M337" s="16"/>
      <c r="N337" s="17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</row>
    <row r="338" spans="1:67" s="3" customFormat="1" x14ac:dyDescent="0.2">
      <c r="A338" s="14" t="s">
        <v>2986</v>
      </c>
      <c r="B338" s="14" t="s">
        <v>18</v>
      </c>
      <c r="C338" s="14">
        <v>2025</v>
      </c>
      <c r="D338" s="14" t="str">
        <f t="array" ref="D338">_xlfn.SWITCH(E338,"Bagor","35.18.14","Sukomoro",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8" s="13" t="s">
        <v>50</v>
      </c>
      <c r="F338" s="14" t="s">
        <v>297</v>
      </c>
      <c r="G338" s="14" t="s">
        <v>464</v>
      </c>
      <c r="H338" s="13" t="s">
        <v>20</v>
      </c>
      <c r="I338" s="14" t="s">
        <v>21</v>
      </c>
      <c r="J338" s="28" t="s">
        <v>668</v>
      </c>
      <c r="K338" s="13" t="s">
        <v>339</v>
      </c>
      <c r="L338" s="15">
        <v>76600000</v>
      </c>
      <c r="M338" s="16"/>
      <c r="N338" s="17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</row>
    <row r="339" spans="1:67" s="3" customFormat="1" x14ac:dyDescent="0.2">
      <c r="A339" s="14" t="s">
        <v>2986</v>
      </c>
      <c r="B339" s="14" t="s">
        <v>18</v>
      </c>
      <c r="C339" s="14">
        <v>2025</v>
      </c>
      <c r="D339" s="14" t="str">
        <f t="array" ref="D339">_xlfn.SWITCH(E339,"Jatikalen","35.18.20","Kertosono", "35.18.08","Lengkong","35.18.19","Loceret","35.18.04","Tanjunganom","35.18.11","Wilangan","35.18.15")</f>
        <v>35.18.11</v>
      </c>
      <c r="E339" s="13" t="s">
        <v>27</v>
      </c>
      <c r="F339" s="14" t="s">
        <v>26</v>
      </c>
      <c r="G339" s="14" t="s">
        <v>669</v>
      </c>
      <c r="H339" s="13" t="s">
        <v>9</v>
      </c>
      <c r="I339" s="14" t="s">
        <v>106</v>
      </c>
      <c r="J339" s="28">
        <v>12</v>
      </c>
      <c r="K339" s="13" t="s">
        <v>45</v>
      </c>
      <c r="L339" s="15">
        <v>72000000</v>
      </c>
      <c r="M339" s="16"/>
      <c r="N339" s="17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</row>
    <row r="340" spans="1:67" s="3" customFormat="1" x14ac:dyDescent="0.2">
      <c r="A340" s="14" t="s">
        <v>2986</v>
      </c>
      <c r="B340" s="14" t="s">
        <v>18</v>
      </c>
      <c r="C340" s="14">
        <v>2025</v>
      </c>
      <c r="D340" s="14" t="str">
        <f t="array" ref="D340">_xlfn.SWITCH(E340,"Jatikalen","35.18.20","Kertosono", "35.18.08","Lengkong","35.18.19","Loceret","35.18.04","Tanjunganom","35.18.11","Wilangan","35.18.15")</f>
        <v>35.18.11</v>
      </c>
      <c r="E340" s="13" t="s">
        <v>27</v>
      </c>
      <c r="F340" s="14" t="s">
        <v>670</v>
      </c>
      <c r="G340" s="14" t="s">
        <v>671</v>
      </c>
      <c r="H340" s="13" t="s">
        <v>9</v>
      </c>
      <c r="I340" s="14" t="s">
        <v>269</v>
      </c>
      <c r="J340" s="28" t="s">
        <v>672</v>
      </c>
      <c r="K340" s="13" t="s">
        <v>673</v>
      </c>
      <c r="L340" s="15">
        <v>3190000</v>
      </c>
      <c r="M340" s="16"/>
      <c r="N340" s="17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</row>
    <row r="341" spans="1:67" s="3" customFormat="1" x14ac:dyDescent="0.2">
      <c r="A341" s="14" t="s">
        <v>2986</v>
      </c>
      <c r="B341" s="14" t="s">
        <v>18</v>
      </c>
      <c r="C341" s="14">
        <v>2025</v>
      </c>
      <c r="D341" s="14" t="str">
        <f t="array" ref="D341">_xlfn.SWITCH(E341,"Bagor","35.18.14","Sukomoro",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41" s="13" t="s">
        <v>57</v>
      </c>
      <c r="F341" s="14" t="s">
        <v>97</v>
      </c>
      <c r="G341" s="14" t="s">
        <v>674</v>
      </c>
      <c r="H341" s="13" t="s">
        <v>20</v>
      </c>
      <c r="I341" s="14" t="s">
        <v>61</v>
      </c>
      <c r="J341" s="28">
        <v>50</v>
      </c>
      <c r="K341" s="13" t="s">
        <v>22</v>
      </c>
      <c r="L341" s="15">
        <v>984375000</v>
      </c>
      <c r="M341" s="16"/>
      <c r="N341" s="17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</row>
    <row r="342" spans="1:67" s="3" customFormat="1" x14ac:dyDescent="0.2">
      <c r="A342" s="14" t="s">
        <v>2986</v>
      </c>
      <c r="B342" s="14" t="s">
        <v>18</v>
      </c>
      <c r="C342" s="14">
        <v>2025</v>
      </c>
      <c r="D342" s="14" t="str">
        <f t="array" ref="D342">_xlfn.SWITCH(E342,"Jatikalen","35.18.20","Kertosono", "35.18.08","Lengkong","35.18.19","Loceret","35.18.04","Tanjunganom","35.18.11","Wilangan","35.18.15")</f>
        <v>35.18.11</v>
      </c>
      <c r="E342" s="13" t="s">
        <v>27</v>
      </c>
      <c r="F342" s="14" t="s">
        <v>26</v>
      </c>
      <c r="G342" s="14" t="s">
        <v>675</v>
      </c>
      <c r="H342" s="13" t="s">
        <v>20</v>
      </c>
      <c r="I342" s="14" t="s">
        <v>21</v>
      </c>
      <c r="J342" s="28" t="s">
        <v>676</v>
      </c>
      <c r="K342" s="13" t="s">
        <v>339</v>
      </c>
      <c r="L342" s="15">
        <v>50800000</v>
      </c>
      <c r="M342" s="16"/>
      <c r="N342" s="17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</row>
    <row r="343" spans="1:67" s="3" customFormat="1" x14ac:dyDescent="0.2">
      <c r="A343" s="14" t="s">
        <v>2986</v>
      </c>
      <c r="B343" s="14" t="s">
        <v>18</v>
      </c>
      <c r="C343" s="14">
        <v>2025</v>
      </c>
      <c r="D343" s="14" t="str">
        <f t="array" ref="D343">_xlfn.SWITCH(E343,"Jatikalen","35.18.20","Kertosono", "35.18.08","Lengkong","35.18.19","Loceret","35.18.04","Tanjunganom","35.18.11","Wilangan","35.18.15")</f>
        <v>35.18.11</v>
      </c>
      <c r="E343" s="13" t="s">
        <v>27</v>
      </c>
      <c r="F343" s="14" t="s">
        <v>677</v>
      </c>
      <c r="G343" s="14" t="s">
        <v>678</v>
      </c>
      <c r="H343" s="13" t="s">
        <v>20</v>
      </c>
      <c r="I343" s="14" t="s">
        <v>21</v>
      </c>
      <c r="J343" s="28">
        <v>600</v>
      </c>
      <c r="K343" s="13" t="s">
        <v>37</v>
      </c>
      <c r="L343" s="15">
        <v>508000000</v>
      </c>
      <c r="M343" s="16">
        <v>39259</v>
      </c>
      <c r="N343" s="17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</row>
    <row r="344" spans="1:67" s="3" customFormat="1" x14ac:dyDescent="0.2">
      <c r="A344" s="14" t="s">
        <v>2986</v>
      </c>
      <c r="B344" s="14" t="s">
        <v>18</v>
      </c>
      <c r="C344" s="14">
        <v>2025</v>
      </c>
      <c r="D344" s="14" t="str">
        <f t="array" ref="D344">_xlfn.SWITCH(E344,"Jatikalen","35.18.20","Kertosono", "35.18.08","Lengkong","35.18.19","Loceret","35.18.04","Tanjunganom","35.18.11","Wilangan","35.18.15")</f>
        <v>35.18.11</v>
      </c>
      <c r="E344" s="13" t="s">
        <v>27</v>
      </c>
      <c r="F344" s="14" t="s">
        <v>679</v>
      </c>
      <c r="G344" s="14" t="s">
        <v>680</v>
      </c>
      <c r="H344" s="13" t="s">
        <v>20</v>
      </c>
      <c r="I344" s="14" t="s">
        <v>21</v>
      </c>
      <c r="J344" s="28" t="s">
        <v>681</v>
      </c>
      <c r="K344" s="13" t="s">
        <v>339</v>
      </c>
      <c r="L344" s="15">
        <v>111760000</v>
      </c>
      <c r="M344" s="16"/>
      <c r="N344" s="17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</row>
    <row r="345" spans="1:67" s="3" customFormat="1" x14ac:dyDescent="0.2">
      <c r="A345" s="14" t="s">
        <v>2986</v>
      </c>
      <c r="B345" s="14" t="s">
        <v>18</v>
      </c>
      <c r="C345" s="14">
        <v>2025</v>
      </c>
      <c r="D345" s="14" t="str">
        <f t="array" ref="D345">_xlfn.SWITCH(E345,"Jatikalen","35.18.20","Kertosono", "35.18.08","Lengkong","35.18.19","Loceret","35.18.04","Tanjunganom","35.18.11","Wilangan","35.18.15")</f>
        <v>35.18.11</v>
      </c>
      <c r="E345" s="13" t="s">
        <v>27</v>
      </c>
      <c r="F345" s="14" t="s">
        <v>220</v>
      </c>
      <c r="G345" s="14" t="s">
        <v>682</v>
      </c>
      <c r="H345" s="13" t="s">
        <v>20</v>
      </c>
      <c r="I345" s="14" t="s">
        <v>21</v>
      </c>
      <c r="J345" s="28" t="s">
        <v>683</v>
      </c>
      <c r="K345" s="13" t="s">
        <v>447</v>
      </c>
      <c r="L345" s="15">
        <v>274184000</v>
      </c>
      <c r="M345" s="16"/>
      <c r="N345" s="17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</row>
    <row r="346" spans="1:67" s="3" customFormat="1" x14ac:dyDescent="0.2">
      <c r="A346" s="14" t="s">
        <v>2986</v>
      </c>
      <c r="B346" s="14" t="s">
        <v>18</v>
      </c>
      <c r="C346" s="14">
        <v>2025</v>
      </c>
      <c r="D346" s="14" t="str">
        <f t="array" ref="D346">_xlfn.SWITCH(E346,"Jatikalen","35.18.20","Kertosono", "35.18.08","Lengkong","35.18.19","Loceret","35.18.04","Tanjunganom","35.18.11","Wilangan","35.18.15")</f>
        <v>35.18.11</v>
      </c>
      <c r="E346" s="13" t="s">
        <v>27</v>
      </c>
      <c r="F346" s="14" t="s">
        <v>107</v>
      </c>
      <c r="G346" s="14" t="s">
        <v>684</v>
      </c>
      <c r="H346" s="13" t="s">
        <v>9</v>
      </c>
      <c r="I346" s="14" t="s">
        <v>114</v>
      </c>
      <c r="J346" s="28">
        <v>15</v>
      </c>
      <c r="K346" s="13" t="s">
        <v>45</v>
      </c>
      <c r="L346" s="15">
        <v>72500000</v>
      </c>
      <c r="M346" s="16"/>
      <c r="N346" s="17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</row>
    <row r="347" spans="1:67" s="3" customFormat="1" x14ac:dyDescent="0.2">
      <c r="A347" s="14" t="s">
        <v>2986</v>
      </c>
      <c r="B347" s="14" t="s">
        <v>18</v>
      </c>
      <c r="C347" s="14">
        <v>2025</v>
      </c>
      <c r="D347" s="14" t="str">
        <f t="array" ref="D347">_xlfn.SWITCH(E347,"Jatikalen","35.18.20","Kertosono", "35.18.08","Lengkong","35.18.19","Loceret","35.18.04","Tanjunganom","35.18.11","Wilangan","35.18.15")</f>
        <v>35.18.11</v>
      </c>
      <c r="E347" s="13" t="s">
        <v>27</v>
      </c>
      <c r="F347" s="14" t="s">
        <v>107</v>
      </c>
      <c r="G347" s="14" t="s">
        <v>685</v>
      </c>
      <c r="H347" s="13" t="s">
        <v>9</v>
      </c>
      <c r="I347" s="14" t="s">
        <v>114</v>
      </c>
      <c r="J347" s="28">
        <v>15</v>
      </c>
      <c r="K347" s="13" t="s">
        <v>45</v>
      </c>
      <c r="L347" s="15">
        <v>72800000</v>
      </c>
      <c r="M347" s="16"/>
      <c r="N347" s="17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</row>
    <row r="348" spans="1:67" s="3" customFormat="1" x14ac:dyDescent="0.2">
      <c r="A348" s="14" t="s">
        <v>2986</v>
      </c>
      <c r="B348" s="14" t="s">
        <v>18</v>
      </c>
      <c r="C348" s="14">
        <v>2025</v>
      </c>
      <c r="D348" s="14" t="str">
        <f t="array" ref="D348">_xlfn.SWITCH(E348,"Jatikalen","35.18.20","Kertosono", "35.18.08","Lengkong","35.18.19","Loceret","35.18.04","Tanjunganom","35.18.11","Wilangan","35.18.15")</f>
        <v>35.18.11</v>
      </c>
      <c r="E348" s="13" t="s">
        <v>27</v>
      </c>
      <c r="F348" s="14" t="s">
        <v>107</v>
      </c>
      <c r="G348" s="14" t="s">
        <v>686</v>
      </c>
      <c r="H348" s="13" t="s">
        <v>9</v>
      </c>
      <c r="I348" s="14" t="s">
        <v>114</v>
      </c>
      <c r="J348" s="28">
        <v>15</v>
      </c>
      <c r="K348" s="13" t="s">
        <v>45</v>
      </c>
      <c r="L348" s="15">
        <v>72400000</v>
      </c>
      <c r="M348" s="16"/>
      <c r="N348" s="17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</row>
    <row r="349" spans="1:67" s="3" customFormat="1" x14ac:dyDescent="0.2">
      <c r="A349" s="14" t="s">
        <v>2986</v>
      </c>
      <c r="B349" s="14" t="s">
        <v>18</v>
      </c>
      <c r="C349" s="14">
        <v>2025</v>
      </c>
      <c r="D349" s="14" t="str">
        <f t="array" ref="D349">_xlfn.SWITCH(E349,"Jatikalen","35.18.20","Kertosono", "35.18.08","Lengkong","35.18.19","Loceret","35.18.04","Tanjunganom","35.18.11","Wilangan","35.18.15")</f>
        <v>35.18.11</v>
      </c>
      <c r="E349" s="13" t="s">
        <v>27</v>
      </c>
      <c r="F349" s="14" t="s">
        <v>26</v>
      </c>
      <c r="G349" s="14" t="s">
        <v>687</v>
      </c>
      <c r="H349" s="13" t="s">
        <v>9</v>
      </c>
      <c r="I349" s="14" t="s">
        <v>114</v>
      </c>
      <c r="J349" s="28">
        <v>15</v>
      </c>
      <c r="K349" s="13" t="s">
        <v>45</v>
      </c>
      <c r="L349" s="15">
        <v>72600000</v>
      </c>
      <c r="M349" s="16"/>
      <c r="N349" s="17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</row>
    <row r="350" spans="1:67" s="3" customFormat="1" x14ac:dyDescent="0.2">
      <c r="A350" s="14" t="s">
        <v>2986</v>
      </c>
      <c r="B350" s="14" t="s">
        <v>18</v>
      </c>
      <c r="C350" s="14">
        <v>2025</v>
      </c>
      <c r="D350" s="14" t="str">
        <f t="array" ref="D350">_xlfn.SWITCH(E350,"Jatikalen","35.18.20","Kertosono", "35.18.08","Lengkong","35.18.19","Loceret","35.18.04","Tanjunganom","35.18.11","Wilangan","35.18.15")</f>
        <v>35.18.11</v>
      </c>
      <c r="E350" s="13" t="s">
        <v>27</v>
      </c>
      <c r="F350" s="14" t="s">
        <v>107</v>
      </c>
      <c r="G350" s="14" t="s">
        <v>426</v>
      </c>
      <c r="H350" s="13" t="s">
        <v>20</v>
      </c>
      <c r="I350" s="14" t="s">
        <v>688</v>
      </c>
      <c r="J350" s="28">
        <v>75000</v>
      </c>
      <c r="K350" s="13" t="s">
        <v>22</v>
      </c>
      <c r="L350" s="15">
        <v>37500000</v>
      </c>
      <c r="M350" s="16"/>
      <c r="N350" s="17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</row>
    <row r="351" spans="1:67" s="3" customFormat="1" x14ac:dyDescent="0.2">
      <c r="A351" s="14" t="s">
        <v>2986</v>
      </c>
      <c r="B351" s="14" t="s">
        <v>18</v>
      </c>
      <c r="C351" s="14">
        <v>2025</v>
      </c>
      <c r="D351" s="14" t="str">
        <f t="array" ref="D351">_xlfn.SWITCH(E351,"Jatikalen","35.18.20","Kertosono", "35.18.08","Lengkong","35.18.19","Loceret","35.18.04","Tanjunganom","35.18.11","Wilangan","35.18.15")</f>
        <v>35.18.11</v>
      </c>
      <c r="E351" s="13" t="s">
        <v>27</v>
      </c>
      <c r="F351" s="14" t="s">
        <v>26</v>
      </c>
      <c r="G351" s="14" t="s">
        <v>689</v>
      </c>
      <c r="H351" s="13" t="s">
        <v>9</v>
      </c>
      <c r="I351" s="14" t="s">
        <v>690</v>
      </c>
      <c r="J351" s="28">
        <v>15</v>
      </c>
      <c r="K351" s="13" t="s">
        <v>45</v>
      </c>
      <c r="L351" s="15">
        <v>11250000</v>
      </c>
      <c r="M351" s="16"/>
      <c r="N351" s="17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</row>
    <row r="352" spans="1:67" s="3" customFormat="1" x14ac:dyDescent="0.2">
      <c r="A352" s="14" t="s">
        <v>2986</v>
      </c>
      <c r="B352" s="14" t="s">
        <v>18</v>
      </c>
      <c r="C352" s="14">
        <v>2025</v>
      </c>
      <c r="D352" s="14" t="str">
        <f t="array" ref="D352">_xlfn.SWITCH(E352,"Jatikalen","35.18.20","Kertosono", "35.18.08","Lengkong","35.18.19","Loceret","35.18.04","Tanjunganom","35.18.11","Wilangan","35.18.15")</f>
        <v>35.18.11</v>
      </c>
      <c r="E352" s="13" t="s">
        <v>27</v>
      </c>
      <c r="F352" s="14" t="s">
        <v>26</v>
      </c>
      <c r="G352" s="14" t="s">
        <v>691</v>
      </c>
      <c r="H352" s="13" t="s">
        <v>9</v>
      </c>
      <c r="I352" s="14" t="s">
        <v>109</v>
      </c>
      <c r="J352" s="28">
        <v>40</v>
      </c>
      <c r="K352" s="13" t="s">
        <v>45</v>
      </c>
      <c r="L352" s="15">
        <v>76000000</v>
      </c>
      <c r="M352" s="16"/>
      <c r="N352" s="17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</row>
    <row r="353" spans="1:67" s="3" customFormat="1" x14ac:dyDescent="0.2">
      <c r="A353" s="14" t="s">
        <v>2986</v>
      </c>
      <c r="B353" s="14" t="s">
        <v>18</v>
      </c>
      <c r="C353" s="14">
        <v>2025</v>
      </c>
      <c r="D353" s="14" t="str">
        <f t="array" ref="D353">_xlfn.SWITCH(E353,"Jatikalen","35.18.20","Kertosono", "35.18.08","Lengkong","35.18.19","Loceret","35.18.04","Tanjunganom","35.18.11","Wilangan","35.18.15")</f>
        <v>35.18.11</v>
      </c>
      <c r="E353" s="13" t="s">
        <v>27</v>
      </c>
      <c r="F353" s="14" t="s">
        <v>26</v>
      </c>
      <c r="G353" s="14" t="s">
        <v>692</v>
      </c>
      <c r="H353" s="13" t="s">
        <v>9</v>
      </c>
      <c r="I353" s="14" t="s">
        <v>109</v>
      </c>
      <c r="J353" s="28">
        <v>35</v>
      </c>
      <c r="K353" s="13" t="s">
        <v>45</v>
      </c>
      <c r="L353" s="15">
        <v>70250000</v>
      </c>
      <c r="M353" s="16"/>
      <c r="N353" s="17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</row>
    <row r="354" spans="1:67" s="3" customFormat="1" x14ac:dyDescent="0.2">
      <c r="A354" s="14" t="s">
        <v>2986</v>
      </c>
      <c r="B354" s="14" t="s">
        <v>18</v>
      </c>
      <c r="C354" s="14">
        <v>2025</v>
      </c>
      <c r="D354" s="14" t="str">
        <f t="array" ref="D354">_xlfn.SWITCH(E354,"Jatikalen","35.18.20","Kertosono", "35.18.08","Lengkong","35.18.19","Loceret","35.18.04","Tanjunganom","35.18.11","Wilangan","35.18.15")</f>
        <v>35.18.11</v>
      </c>
      <c r="E354" s="13" t="s">
        <v>27</v>
      </c>
      <c r="F354" s="14" t="s">
        <v>693</v>
      </c>
      <c r="G354" s="14" t="s">
        <v>694</v>
      </c>
      <c r="H354" s="13" t="s">
        <v>9</v>
      </c>
      <c r="I354" s="14" t="s">
        <v>114</v>
      </c>
      <c r="J354" s="28" t="s">
        <v>695</v>
      </c>
      <c r="K354" s="13" t="s">
        <v>45</v>
      </c>
      <c r="L354" s="15">
        <v>36000000</v>
      </c>
      <c r="M354" s="16"/>
      <c r="N354" s="17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</row>
    <row r="355" spans="1:67" s="3" customFormat="1" ht="20" x14ac:dyDescent="0.2">
      <c r="A355" s="14" t="s">
        <v>2986</v>
      </c>
      <c r="B355" s="14" t="s">
        <v>18</v>
      </c>
      <c r="C355" s="14">
        <v>2025</v>
      </c>
      <c r="D355" s="14" t="str">
        <f t="array" ref="D355">_xlfn.SWITCH(E355,"Jatikalen","35.18.20","Kertosono", "35.18.08","Lengkong","35.18.19","Loceret","35.18.04","Tanjunganom","35.18.11","Wilangan","35.18.15")</f>
        <v>35.18.08</v>
      </c>
      <c r="E355" s="13" t="s">
        <v>75</v>
      </c>
      <c r="F355" s="25" t="s">
        <v>696</v>
      </c>
      <c r="G355" s="25" t="s">
        <v>697</v>
      </c>
      <c r="H355" s="13" t="s">
        <v>9</v>
      </c>
      <c r="I355" s="14" t="s">
        <v>690</v>
      </c>
      <c r="J355" s="15">
        <v>60000</v>
      </c>
      <c r="K355" s="13" t="s">
        <v>22</v>
      </c>
      <c r="L355" s="22">
        <v>20000000</v>
      </c>
      <c r="M355" s="16">
        <v>39644</v>
      </c>
      <c r="N355" s="17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</row>
    <row r="356" spans="1:67" s="3" customFormat="1" x14ac:dyDescent="0.2">
      <c r="A356" s="14" t="s">
        <v>2986</v>
      </c>
      <c r="B356" s="14" t="s">
        <v>18</v>
      </c>
      <c r="C356" s="14">
        <v>2025</v>
      </c>
      <c r="D356" s="14" t="str">
        <f t="array" ref="D356">_xlfn.SWITCH(E356,"Bagor","35.18.14","Sukomoro",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6" s="13" t="s">
        <v>35</v>
      </c>
      <c r="F356" s="25" t="s">
        <v>698</v>
      </c>
      <c r="G356" s="25" t="s">
        <v>699</v>
      </c>
      <c r="H356" s="13" t="s">
        <v>9</v>
      </c>
      <c r="I356" s="14" t="s">
        <v>229</v>
      </c>
      <c r="J356" s="15">
        <v>3000</v>
      </c>
      <c r="K356" s="13" t="s">
        <v>700</v>
      </c>
      <c r="L356" s="22">
        <v>975000000</v>
      </c>
      <c r="M356" s="16"/>
      <c r="N356" s="17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</row>
    <row r="357" spans="1:67" s="3" customFormat="1" x14ac:dyDescent="0.2">
      <c r="A357" s="14" t="s">
        <v>2986</v>
      </c>
      <c r="B357" s="14" t="s">
        <v>18</v>
      </c>
      <c r="C357" s="14">
        <v>2025</v>
      </c>
      <c r="D357" s="14" t="str">
        <f t="array" ref="D357">_xlfn.SWITCH(E357,"Bagor","35.18.14","Sukomoro",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7" s="13" t="s">
        <v>35</v>
      </c>
      <c r="F357" s="25" t="s">
        <v>35</v>
      </c>
      <c r="G357" s="25" t="s">
        <v>701</v>
      </c>
      <c r="H357" s="13" t="s">
        <v>20</v>
      </c>
      <c r="I357" s="14" t="s">
        <v>229</v>
      </c>
      <c r="J357" s="15">
        <v>2800</v>
      </c>
      <c r="K357" s="13" t="s">
        <v>700</v>
      </c>
      <c r="L357" s="22">
        <v>900000000</v>
      </c>
      <c r="M357" s="16">
        <v>39629</v>
      </c>
      <c r="N357" s="17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</row>
    <row r="358" spans="1:67" s="3" customFormat="1" x14ac:dyDescent="0.2">
      <c r="A358" s="14" t="s">
        <v>2986</v>
      </c>
      <c r="B358" s="14" t="s">
        <v>18</v>
      </c>
      <c r="C358" s="14">
        <v>2025</v>
      </c>
      <c r="D358" s="14" t="str">
        <f t="array" ref="D358">_xlfn.SWITCH(E358,"Bagor","35.18.14","Sukomoro",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8" s="13" t="s">
        <v>50</v>
      </c>
      <c r="F358" s="25" t="s">
        <v>702</v>
      </c>
      <c r="G358" s="25" t="s">
        <v>703</v>
      </c>
      <c r="H358" s="13" t="s">
        <v>20</v>
      </c>
      <c r="I358" s="14" t="s">
        <v>61</v>
      </c>
      <c r="J358" s="15">
        <v>200</v>
      </c>
      <c r="K358" s="13" t="s">
        <v>22</v>
      </c>
      <c r="L358" s="22">
        <v>210000000</v>
      </c>
      <c r="M358" s="16"/>
      <c r="N358" s="17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</row>
    <row r="359" spans="1:67" s="3" customFormat="1" x14ac:dyDescent="0.2">
      <c r="A359" s="14" t="s">
        <v>2986</v>
      </c>
      <c r="B359" s="14" t="s">
        <v>18</v>
      </c>
      <c r="C359" s="14">
        <v>2025</v>
      </c>
      <c r="D359" s="14" t="str">
        <f t="array" ref="D359">_xlfn.SWITCH(E359,"Bagor","35.18.14","Sukomoro",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9" s="13" t="s">
        <v>50</v>
      </c>
      <c r="F359" s="25" t="s">
        <v>662</v>
      </c>
      <c r="G359" s="25" t="s">
        <v>704</v>
      </c>
      <c r="H359" s="13" t="s">
        <v>9</v>
      </c>
      <c r="I359" s="14" t="s">
        <v>61</v>
      </c>
      <c r="J359" s="15">
        <v>500</v>
      </c>
      <c r="K359" s="13" t="s">
        <v>22</v>
      </c>
      <c r="L359" s="22">
        <v>250000000</v>
      </c>
      <c r="M359" s="16">
        <v>39658</v>
      </c>
      <c r="N359" s="17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</row>
    <row r="360" spans="1:67" s="3" customFormat="1" x14ac:dyDescent="0.2">
      <c r="A360" s="14" t="s">
        <v>2986</v>
      </c>
      <c r="B360" s="14" t="s">
        <v>18</v>
      </c>
      <c r="C360" s="14">
        <v>2025</v>
      </c>
      <c r="D360" s="14" t="str">
        <f t="array" ref="D360">_xlfn.SWITCH(E360,"Jatikalen","35.18.20","Kertosono", "35.18.08","Lengkong","35.18.19","Loceret","35.18.04","Tanjunganom","35.18.11","Wilangan","35.18.15")</f>
        <v>35.18.19</v>
      </c>
      <c r="E360" s="13" t="s">
        <v>30</v>
      </c>
      <c r="F360" s="25" t="s">
        <v>705</v>
      </c>
      <c r="G360" s="25" t="s">
        <v>706</v>
      </c>
      <c r="H360" s="13" t="s">
        <v>9</v>
      </c>
      <c r="I360" s="14" t="s">
        <v>214</v>
      </c>
      <c r="J360" s="15">
        <v>30000</v>
      </c>
      <c r="K360" s="13" t="s">
        <v>87</v>
      </c>
      <c r="L360" s="22">
        <v>157000000</v>
      </c>
      <c r="M360" s="16"/>
      <c r="N360" s="17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</row>
    <row r="361" spans="1:67" s="3" customFormat="1" x14ac:dyDescent="0.2">
      <c r="A361" s="14" t="s">
        <v>2986</v>
      </c>
      <c r="B361" s="14" t="s">
        <v>18</v>
      </c>
      <c r="C361" s="14">
        <v>2025</v>
      </c>
      <c r="D361" s="14" t="str">
        <f t="array" ref="D361">_xlfn.SWITCH(E361,"Bagor","35.18.14","Sukomoro",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1" s="13" t="s">
        <v>7</v>
      </c>
      <c r="F361" s="25" t="s">
        <v>12</v>
      </c>
      <c r="G361" s="25" t="s">
        <v>707</v>
      </c>
      <c r="H361" s="13" t="s">
        <v>9</v>
      </c>
      <c r="I361" s="14" t="s">
        <v>10</v>
      </c>
      <c r="J361" s="15">
        <v>1000000</v>
      </c>
      <c r="K361" s="13" t="s">
        <v>11</v>
      </c>
      <c r="L361" s="22">
        <f>J361*250</f>
        <v>250000000</v>
      </c>
      <c r="M361" s="20" t="s">
        <v>708</v>
      </c>
      <c r="N361" s="17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</row>
    <row r="362" spans="1:67" s="3" customFormat="1" x14ac:dyDescent="0.2">
      <c r="A362" s="14" t="s">
        <v>2986</v>
      </c>
      <c r="B362" s="14" t="s">
        <v>18</v>
      </c>
      <c r="C362" s="14">
        <v>2025</v>
      </c>
      <c r="D362" s="14" t="str">
        <f t="array" ref="D362">_xlfn.SWITCH(E362,"Bagor","35.18.14","Sukomoro",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2" s="13" t="s">
        <v>18</v>
      </c>
      <c r="F362" s="25" t="s">
        <v>46</v>
      </c>
      <c r="G362" s="25" t="s">
        <v>709</v>
      </c>
      <c r="H362" s="13" t="s">
        <v>9</v>
      </c>
      <c r="I362" s="14" t="s">
        <v>295</v>
      </c>
      <c r="J362" s="15">
        <v>550</v>
      </c>
      <c r="K362" s="13" t="s">
        <v>319</v>
      </c>
      <c r="L362" s="22">
        <v>150000000</v>
      </c>
      <c r="M362" s="16"/>
      <c r="N362" s="17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</row>
    <row r="363" spans="1:67" s="3" customFormat="1" x14ac:dyDescent="0.2">
      <c r="A363" s="14" t="s">
        <v>2986</v>
      </c>
      <c r="B363" s="14" t="s">
        <v>18</v>
      </c>
      <c r="C363" s="14">
        <v>2025</v>
      </c>
      <c r="D363" s="14" t="str">
        <f t="array" ref="D363">_xlfn.SWITCH(E363,"Jatikalen","35.18.20","Kertosono", "35.18.08","Lengkong","35.18.19","Loceret","35.18.04","Tanjunganom","35.18.11","Wilangan","35.18.15")</f>
        <v>35.18.11</v>
      </c>
      <c r="E363" s="13" t="s">
        <v>27</v>
      </c>
      <c r="F363" s="25" t="s">
        <v>677</v>
      </c>
      <c r="G363" s="25" t="s">
        <v>710</v>
      </c>
      <c r="H363" s="13" t="s">
        <v>9</v>
      </c>
      <c r="I363" s="14" t="s">
        <v>55</v>
      </c>
      <c r="J363" s="15">
        <v>300</v>
      </c>
      <c r="K363" s="13" t="s">
        <v>53</v>
      </c>
      <c r="L363" s="22">
        <v>700000000</v>
      </c>
      <c r="M363" s="16"/>
      <c r="N363" s="17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</row>
    <row r="364" spans="1:67" s="3" customFormat="1" x14ac:dyDescent="0.2">
      <c r="A364" s="14" t="s">
        <v>2986</v>
      </c>
      <c r="B364" s="14" t="s">
        <v>18</v>
      </c>
      <c r="C364" s="14">
        <v>2025</v>
      </c>
      <c r="D364" s="14" t="str">
        <f t="array" ref="D364">_xlfn.SWITCH(E364,"Jatikalen","35.18.20","Kertosono", "35.18.08","Lengkong","35.18.19","Loceret","35.18.04","Tanjunganom","35.18.11","Wilangan","35.18.15")</f>
        <v>35.18.08</v>
      </c>
      <c r="E364" s="13" t="s">
        <v>75</v>
      </c>
      <c r="F364" s="25" t="s">
        <v>711</v>
      </c>
      <c r="G364" s="25" t="s">
        <v>712</v>
      </c>
      <c r="H364" s="13" t="s">
        <v>9</v>
      </c>
      <c r="I364" s="14" t="s">
        <v>387</v>
      </c>
      <c r="J364" s="15">
        <v>950</v>
      </c>
      <c r="K364" s="13" t="s">
        <v>22</v>
      </c>
      <c r="L364" s="22">
        <v>180000000</v>
      </c>
      <c r="M364" s="16"/>
      <c r="N364" s="17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</row>
    <row r="365" spans="1:67" s="3" customFormat="1" x14ac:dyDescent="0.2">
      <c r="A365" s="14" t="s">
        <v>2986</v>
      </c>
      <c r="B365" s="14" t="s">
        <v>18</v>
      </c>
      <c r="C365" s="14">
        <v>2025</v>
      </c>
      <c r="D365" s="14" t="str">
        <f t="array" ref="D365">_xlfn.SWITCH(E365,"Jatikalen","35.18.20","Kertosono", "35.18.08","Lengkong","35.18.19","Loceret","35.18.04","Tanjunganom","35.18.11","Wilangan","35.18.15")</f>
        <v>35.18.08</v>
      </c>
      <c r="E365" s="13" t="s">
        <v>75</v>
      </c>
      <c r="F365" s="25" t="s">
        <v>486</v>
      </c>
      <c r="G365" s="25" t="s">
        <v>713</v>
      </c>
      <c r="H365" s="13" t="s">
        <v>43</v>
      </c>
      <c r="I365" s="14" t="s">
        <v>714</v>
      </c>
      <c r="J365" s="15">
        <v>1350</v>
      </c>
      <c r="K365" s="13" t="s">
        <v>22</v>
      </c>
      <c r="L365" s="22">
        <v>60600000</v>
      </c>
      <c r="M365" s="16"/>
      <c r="N365" s="17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</row>
    <row r="366" spans="1:67" s="3" customFormat="1" x14ac:dyDescent="0.2">
      <c r="A366" s="14" t="s">
        <v>2986</v>
      </c>
      <c r="B366" s="14" t="s">
        <v>18</v>
      </c>
      <c r="C366" s="14">
        <v>2025</v>
      </c>
      <c r="D366" s="14" t="str">
        <f t="array" ref="D366">_xlfn.SWITCH(E366,"Bagor","35.18.14","Sukomoro",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66" s="13" t="s">
        <v>57</v>
      </c>
      <c r="F366" s="25" t="s">
        <v>133</v>
      </c>
      <c r="G366" s="25" t="s">
        <v>134</v>
      </c>
      <c r="H366" s="13" t="s">
        <v>9</v>
      </c>
      <c r="I366" s="14" t="s">
        <v>36</v>
      </c>
      <c r="J366" s="15">
        <v>30</v>
      </c>
      <c r="K366" s="13" t="s">
        <v>37</v>
      </c>
      <c r="L366" s="22">
        <v>1350000000</v>
      </c>
      <c r="M366" s="16"/>
      <c r="N366" s="17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</row>
    <row r="367" spans="1:67" s="3" customFormat="1" x14ac:dyDescent="0.2">
      <c r="A367" s="14" t="s">
        <v>2986</v>
      </c>
      <c r="B367" s="14" t="s">
        <v>18</v>
      </c>
      <c r="C367" s="14">
        <v>2025</v>
      </c>
      <c r="D367" s="14" t="str">
        <f t="array" ref="D367">_xlfn.SWITCH(E367,"Jatikalen","35.18.20","Kertosono", "35.18.08","Lengkong","35.18.19","Loceret","35.18.04","Tanjunganom","35.18.11","Wilangan","35.18.15")</f>
        <v>35.18.04</v>
      </c>
      <c r="E367" s="13" t="s">
        <v>15</v>
      </c>
      <c r="F367" s="25" t="s">
        <v>560</v>
      </c>
      <c r="G367" s="25" t="s">
        <v>715</v>
      </c>
      <c r="H367" s="13" t="s">
        <v>9</v>
      </c>
      <c r="I367" s="14" t="s">
        <v>313</v>
      </c>
      <c r="J367" s="15">
        <v>12000</v>
      </c>
      <c r="K367" s="13" t="s">
        <v>87</v>
      </c>
      <c r="L367" s="22">
        <v>84000000</v>
      </c>
      <c r="M367" s="16"/>
      <c r="N367" s="17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</row>
    <row r="368" spans="1:67" s="3" customFormat="1" x14ac:dyDescent="0.2">
      <c r="A368" s="14" t="s">
        <v>2986</v>
      </c>
      <c r="B368" s="14" t="s">
        <v>18</v>
      </c>
      <c r="C368" s="14">
        <v>2025</v>
      </c>
      <c r="D368" s="14" t="str">
        <f t="array" ref="D368">_xlfn.SWITCH(E368,"Jatikalen","35.18.20","Kertosono", "35.18.08","Lengkong","35.18.19","Loceret","35.18.04","Tanjunganom","35.18.11","Wilangan","35.18.15")</f>
        <v>35.18.19</v>
      </c>
      <c r="E368" s="13" t="s">
        <v>30</v>
      </c>
      <c r="F368" s="25" t="s">
        <v>716</v>
      </c>
      <c r="G368" s="25" t="s">
        <v>717</v>
      </c>
      <c r="H368" s="13" t="s">
        <v>9</v>
      </c>
      <c r="I368" s="14" t="s">
        <v>36</v>
      </c>
      <c r="J368" s="15">
        <v>30</v>
      </c>
      <c r="K368" s="13" t="s">
        <v>37</v>
      </c>
      <c r="L368" s="22">
        <v>300000000</v>
      </c>
      <c r="M368" s="16"/>
      <c r="N368" s="17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</row>
    <row r="369" spans="1:67" s="3" customFormat="1" x14ac:dyDescent="0.2">
      <c r="A369" s="14" t="s">
        <v>2986</v>
      </c>
      <c r="B369" s="14" t="s">
        <v>18</v>
      </c>
      <c r="C369" s="14">
        <v>2025</v>
      </c>
      <c r="D369" s="14" t="str">
        <f t="array" ref="D369">_xlfn.SWITCH(E369,"Bagor","35.18.14","Sukomoro",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9" s="13" t="s">
        <v>18</v>
      </c>
      <c r="F369" s="25" t="s">
        <v>718</v>
      </c>
      <c r="G369" s="25" t="s">
        <v>719</v>
      </c>
      <c r="H369" s="13" t="s">
        <v>9</v>
      </c>
      <c r="I369" s="14" t="s">
        <v>313</v>
      </c>
      <c r="J369" s="15">
        <v>6000</v>
      </c>
      <c r="K369" s="13" t="s">
        <v>94</v>
      </c>
      <c r="L369" s="22">
        <v>138000000</v>
      </c>
      <c r="M369" s="16"/>
      <c r="N369" s="17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</row>
    <row r="370" spans="1:67" s="3" customFormat="1" x14ac:dyDescent="0.2">
      <c r="A370" s="14" t="s">
        <v>2986</v>
      </c>
      <c r="B370" s="14" t="s">
        <v>18</v>
      </c>
      <c r="C370" s="14">
        <v>2025</v>
      </c>
      <c r="D370" s="14" t="str">
        <f t="array" ref="D370">_xlfn.SWITCH(E370,"Bagor","35.18.14","Sukomoro",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0" s="13" t="s">
        <v>84</v>
      </c>
      <c r="F370" s="25" t="s">
        <v>720</v>
      </c>
      <c r="G370" s="25" t="s">
        <v>721</v>
      </c>
      <c r="H370" s="13" t="s">
        <v>9</v>
      </c>
      <c r="I370" s="14" t="s">
        <v>413</v>
      </c>
      <c r="J370" s="15">
        <v>400000</v>
      </c>
      <c r="K370" s="13" t="s">
        <v>11</v>
      </c>
      <c r="L370" s="22">
        <v>49700000000</v>
      </c>
      <c r="M370" s="16"/>
      <c r="N370" s="17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</row>
    <row r="371" spans="1:67" s="3" customFormat="1" x14ac:dyDescent="0.2">
      <c r="A371" s="14" t="s">
        <v>2986</v>
      </c>
      <c r="B371" s="14" t="s">
        <v>18</v>
      </c>
      <c r="C371" s="14">
        <v>2025</v>
      </c>
      <c r="D371" s="14" t="str">
        <f t="array" ref="D371">_xlfn.SWITCH(E371,"Bagor","35.18.14","Sukomoro",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71" s="13" t="s">
        <v>18</v>
      </c>
      <c r="F371" s="25" t="s">
        <v>722</v>
      </c>
      <c r="G371" s="25" t="s">
        <v>723</v>
      </c>
      <c r="H371" s="13" t="s">
        <v>9</v>
      </c>
      <c r="I371" s="14" t="s">
        <v>724</v>
      </c>
      <c r="J371" s="15">
        <v>20</v>
      </c>
      <c r="K371" s="13" t="s">
        <v>45</v>
      </c>
      <c r="L371" s="22">
        <v>99500000</v>
      </c>
      <c r="M371" s="16"/>
      <c r="N371" s="17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</row>
    <row r="372" spans="1:67" s="3" customFormat="1" x14ac:dyDescent="0.2">
      <c r="A372" s="14" t="s">
        <v>2986</v>
      </c>
      <c r="B372" s="14" t="s">
        <v>18</v>
      </c>
      <c r="C372" s="14">
        <v>2025</v>
      </c>
      <c r="D372" s="14" t="str">
        <f t="array" ref="D372">_xlfn.SWITCH(E372,"Bagor","35.18.14","Sukomoro",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72" s="13" t="s">
        <v>91</v>
      </c>
      <c r="F372" s="25" t="s">
        <v>609</v>
      </c>
      <c r="G372" s="25" t="s">
        <v>464</v>
      </c>
      <c r="H372" s="13" t="s">
        <v>9</v>
      </c>
      <c r="I372" s="14" t="s">
        <v>229</v>
      </c>
      <c r="J372" s="15">
        <v>100</v>
      </c>
      <c r="K372" s="13" t="s">
        <v>217</v>
      </c>
      <c r="L372" s="22">
        <v>50000000</v>
      </c>
      <c r="M372" s="16"/>
      <c r="N372" s="17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</row>
    <row r="373" spans="1:67" s="3" customFormat="1" x14ac:dyDescent="0.2">
      <c r="A373" s="14" t="s">
        <v>2986</v>
      </c>
      <c r="B373" s="14" t="s">
        <v>18</v>
      </c>
      <c r="C373" s="14">
        <v>2025</v>
      </c>
      <c r="D373" s="14" t="str">
        <f t="array" ref="D373">_xlfn.SWITCH(E373,"Bagor","35.18.14","Sukomoro",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73" s="13" t="s">
        <v>65</v>
      </c>
      <c r="F373" s="25" t="s">
        <v>725</v>
      </c>
      <c r="G373" s="25" t="s">
        <v>726</v>
      </c>
      <c r="H373" s="13" t="s">
        <v>20</v>
      </c>
      <c r="I373" s="14" t="s">
        <v>36</v>
      </c>
      <c r="J373" s="15">
        <v>85</v>
      </c>
      <c r="K373" s="13" t="s">
        <v>37</v>
      </c>
      <c r="L373" s="22">
        <v>75040980500</v>
      </c>
      <c r="M373" s="16"/>
      <c r="N373" s="17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</row>
    <row r="374" spans="1:67" s="3" customFormat="1" x14ac:dyDescent="0.2">
      <c r="A374" s="14" t="s">
        <v>2986</v>
      </c>
      <c r="B374" s="14" t="s">
        <v>18</v>
      </c>
      <c r="C374" s="14">
        <v>2025</v>
      </c>
      <c r="D374" s="14" t="str">
        <f t="array" ref="D374">_xlfn.SWITCH(E374,"Bagor","35.18.14","Sukomoro",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4" s="13" t="s">
        <v>35</v>
      </c>
      <c r="F374" s="25" t="s">
        <v>35</v>
      </c>
      <c r="G374" s="25" t="s">
        <v>727</v>
      </c>
      <c r="H374" s="13" t="s">
        <v>9</v>
      </c>
      <c r="I374" s="14" t="s">
        <v>229</v>
      </c>
      <c r="J374" s="15">
        <v>22500</v>
      </c>
      <c r="K374" s="13" t="s">
        <v>87</v>
      </c>
      <c r="L374" s="22">
        <v>6920000000</v>
      </c>
      <c r="M374" s="16"/>
      <c r="N374" s="17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</row>
    <row r="375" spans="1:67" s="3" customFormat="1" x14ac:dyDescent="0.2">
      <c r="A375" s="14" t="s">
        <v>2986</v>
      </c>
      <c r="B375" s="14" t="s">
        <v>18</v>
      </c>
      <c r="C375" s="14">
        <v>2025</v>
      </c>
      <c r="D375" s="14" t="str">
        <f t="array" ref="D375">_xlfn.SWITCH(E375,"Jatikalen","35.18.20","Kertosono", "35.18.08","Lengkong","35.18.19","Loceret","35.18.04","Tanjunganom","35.18.11","Wilangan","35.18.15")</f>
        <v>35.18.08</v>
      </c>
      <c r="E375" s="13" t="s">
        <v>75</v>
      </c>
      <c r="F375" s="25" t="s">
        <v>728</v>
      </c>
      <c r="G375" s="25" t="s">
        <v>729</v>
      </c>
      <c r="H375" s="13" t="s">
        <v>9</v>
      </c>
      <c r="I375" s="14" t="s">
        <v>114</v>
      </c>
      <c r="J375" s="15">
        <v>132</v>
      </c>
      <c r="K375" s="13" t="s">
        <v>730</v>
      </c>
      <c r="L375" s="22">
        <v>420000000</v>
      </c>
      <c r="M375" s="16"/>
      <c r="N375" s="17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</row>
    <row r="376" spans="1:67" s="3" customFormat="1" x14ac:dyDescent="0.2">
      <c r="A376" s="14" t="s">
        <v>2986</v>
      </c>
      <c r="B376" s="14" t="s">
        <v>18</v>
      </c>
      <c r="C376" s="14">
        <v>2025</v>
      </c>
      <c r="D376" s="14" t="str">
        <f t="array" ref="D376">_xlfn.SWITCH(E376,"Bagor","35.18.14","Sukomoro",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6" s="13" t="s">
        <v>84</v>
      </c>
      <c r="F376" s="25" t="s">
        <v>731</v>
      </c>
      <c r="G376" s="25" t="s">
        <v>732</v>
      </c>
      <c r="H376" s="13" t="s">
        <v>20</v>
      </c>
      <c r="I376" s="14" t="s">
        <v>690</v>
      </c>
      <c r="J376" s="15">
        <v>114000000</v>
      </c>
      <c r="K376" s="13" t="s">
        <v>22</v>
      </c>
      <c r="L376" s="22">
        <v>196000000</v>
      </c>
      <c r="M376" s="16"/>
      <c r="N376" s="17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</row>
    <row r="377" spans="1:67" s="3" customFormat="1" x14ac:dyDescent="0.2">
      <c r="A377" s="14" t="s">
        <v>2986</v>
      </c>
      <c r="B377" s="14" t="s">
        <v>18</v>
      </c>
      <c r="C377" s="14">
        <v>2025</v>
      </c>
      <c r="D377" s="14" t="str">
        <f t="array" ref="D377">_xlfn.SWITCH(E377,"Jatikalen","35.18.20","Kertosono", "35.18.08","Lengkong","35.18.19","Loceret","35.18.04","Tanjunganom","35.18.11","Wilangan","35.18.15")</f>
        <v>35.18.04</v>
      </c>
      <c r="E377" s="13" t="s">
        <v>15</v>
      </c>
      <c r="F377" s="25" t="s">
        <v>254</v>
      </c>
      <c r="G377" s="25" t="s">
        <v>391</v>
      </c>
      <c r="H377" s="13" t="s">
        <v>20</v>
      </c>
      <c r="I377" s="14" t="s">
        <v>555</v>
      </c>
      <c r="J377" s="15">
        <v>50</v>
      </c>
      <c r="K377" s="13" t="s">
        <v>37</v>
      </c>
      <c r="L377" s="22">
        <v>62000000</v>
      </c>
      <c r="M377" s="16"/>
      <c r="N377" s="17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</row>
    <row r="378" spans="1:67" s="3" customFormat="1" x14ac:dyDescent="0.2">
      <c r="A378" s="14" t="s">
        <v>2986</v>
      </c>
      <c r="B378" s="14" t="s">
        <v>18</v>
      </c>
      <c r="C378" s="14">
        <v>2025</v>
      </c>
      <c r="D378" s="14" t="str">
        <f t="array" ref="D378">_xlfn.SWITCH(E378,"Bagor","35.18.14","Sukomoro",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78" s="13" t="s">
        <v>50</v>
      </c>
      <c r="F378" s="25" t="s">
        <v>297</v>
      </c>
      <c r="G378" s="25" t="s">
        <v>733</v>
      </c>
      <c r="H378" s="13" t="s">
        <v>20</v>
      </c>
      <c r="I378" s="14" t="s">
        <v>166</v>
      </c>
      <c r="J378" s="15">
        <v>30000</v>
      </c>
      <c r="K378" s="13" t="s">
        <v>627</v>
      </c>
      <c r="L378" s="22">
        <v>875850000</v>
      </c>
      <c r="M378" s="16">
        <v>39392</v>
      </c>
      <c r="N378" s="17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</row>
    <row r="379" spans="1:67" s="3" customFormat="1" x14ac:dyDescent="0.2">
      <c r="A379" s="14" t="s">
        <v>2986</v>
      </c>
      <c r="B379" s="14" t="s">
        <v>18</v>
      </c>
      <c r="C379" s="14">
        <v>2025</v>
      </c>
      <c r="D379" s="14" t="str">
        <f t="array" ref="D379">_xlfn.SWITCH(E379,"Bagor","35.18.14","Sukomoro",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9" s="13" t="s">
        <v>35</v>
      </c>
      <c r="F379" s="25" t="s">
        <v>734</v>
      </c>
      <c r="G379" s="25" t="s">
        <v>735</v>
      </c>
      <c r="H379" s="13" t="s">
        <v>43</v>
      </c>
      <c r="I379" s="14" t="s">
        <v>736</v>
      </c>
      <c r="J379" s="15">
        <v>40000</v>
      </c>
      <c r="K379" s="13" t="s">
        <v>737</v>
      </c>
      <c r="L379" s="22">
        <f>J379*13000</f>
        <v>520000000</v>
      </c>
      <c r="M379" s="16">
        <v>39570</v>
      </c>
      <c r="N379" s="17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</row>
    <row r="380" spans="1:67" s="3" customFormat="1" x14ac:dyDescent="0.2">
      <c r="A380" s="14" t="s">
        <v>2986</v>
      </c>
      <c r="B380" s="14" t="s">
        <v>18</v>
      </c>
      <c r="C380" s="14">
        <v>2025</v>
      </c>
      <c r="D380" s="14" t="str">
        <f t="array" ref="D380">_xlfn.SWITCH(E380,"Jatikalen","35.18.20","Kertosono", "35.18.08","Lengkong","35.18.19","Loceret","35.18.04","Tanjunganom","35.18.11","Wilangan","35.18.15")</f>
        <v>35.18.19</v>
      </c>
      <c r="E380" s="13" t="s">
        <v>30</v>
      </c>
      <c r="F380" s="25" t="s">
        <v>738</v>
      </c>
      <c r="G380" s="25" t="s">
        <v>739</v>
      </c>
      <c r="H380" s="13" t="s">
        <v>9</v>
      </c>
      <c r="I380" s="14" t="s">
        <v>651</v>
      </c>
      <c r="J380" s="15">
        <v>15000</v>
      </c>
      <c r="K380" s="13" t="s">
        <v>22</v>
      </c>
      <c r="L380" s="22">
        <v>750000000</v>
      </c>
      <c r="M380" s="16">
        <v>39520</v>
      </c>
      <c r="N380" s="17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</row>
    <row r="381" spans="1:67" s="3" customFormat="1" x14ac:dyDescent="0.2">
      <c r="A381" s="14" t="s">
        <v>2986</v>
      </c>
      <c r="B381" s="14" t="s">
        <v>18</v>
      </c>
      <c r="C381" s="14">
        <v>2025</v>
      </c>
      <c r="D381" s="14" t="str">
        <f t="array" ref="D381">_xlfn.SWITCH(E381,"Bagor","35.18.14","Sukomoro",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81" s="13" t="s">
        <v>7</v>
      </c>
      <c r="F381" s="25" t="s">
        <v>139</v>
      </c>
      <c r="G381" s="25" t="s">
        <v>740</v>
      </c>
      <c r="H381" s="13" t="s">
        <v>9</v>
      </c>
      <c r="I381" s="14" t="s">
        <v>10</v>
      </c>
      <c r="J381" s="15">
        <v>1000000</v>
      </c>
      <c r="K381" s="13" t="s">
        <v>11</v>
      </c>
      <c r="L381" s="22">
        <f>400*J381</f>
        <v>400000000</v>
      </c>
      <c r="M381" s="23" t="s">
        <v>741</v>
      </c>
      <c r="N381" s="17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</row>
    <row r="382" spans="1:67" s="3" customFormat="1" x14ac:dyDescent="0.2">
      <c r="A382" s="14" t="s">
        <v>2986</v>
      </c>
      <c r="B382" s="14" t="s">
        <v>18</v>
      </c>
      <c r="C382" s="14">
        <v>2025</v>
      </c>
      <c r="D382" s="14" t="str">
        <f t="array" ref="D382">_xlfn.SWITCH(E382,"Jatikalen","35.18.20","Kertosono", "35.18.08","Lengkong","35.18.19","Loceret","35.18.04","Tanjunganom","35.18.11","Wilangan","35.18.15")</f>
        <v>35.18.11</v>
      </c>
      <c r="E382" s="13" t="s">
        <v>27</v>
      </c>
      <c r="F382" s="25" t="s">
        <v>27</v>
      </c>
      <c r="G382" s="25" t="s">
        <v>742</v>
      </c>
      <c r="H382" s="13" t="s">
        <v>20</v>
      </c>
      <c r="I382" s="14" t="s">
        <v>36</v>
      </c>
      <c r="J382" s="15">
        <v>25</v>
      </c>
      <c r="K382" s="13" t="s">
        <v>37</v>
      </c>
      <c r="L382" s="22">
        <v>135000000</v>
      </c>
      <c r="M382" s="16">
        <v>39619</v>
      </c>
      <c r="N382" s="17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</row>
    <row r="383" spans="1:67" s="3" customFormat="1" x14ac:dyDescent="0.2">
      <c r="A383" s="14" t="s">
        <v>2986</v>
      </c>
      <c r="B383" s="14" t="s">
        <v>18</v>
      </c>
      <c r="C383" s="14">
        <v>2025</v>
      </c>
      <c r="D383" s="14" t="str">
        <f t="array" ref="D383">_xlfn.SWITCH(E383,"Jatikalen","35.18.20","Kertosono", "35.18.08","Lengkong","35.18.19","Loceret","35.18.04","Tanjunganom","35.18.11","Wilangan","35.18.15")</f>
        <v>35.18.11</v>
      </c>
      <c r="E383" s="13" t="s">
        <v>27</v>
      </c>
      <c r="F383" s="25" t="s">
        <v>220</v>
      </c>
      <c r="G383" s="25" t="s">
        <v>743</v>
      </c>
      <c r="H383" s="13" t="s">
        <v>20</v>
      </c>
      <c r="I383" s="14" t="s">
        <v>36</v>
      </c>
      <c r="J383" s="15">
        <v>25</v>
      </c>
      <c r="K383" s="13" t="s">
        <v>37</v>
      </c>
      <c r="L383" s="22">
        <v>145000000</v>
      </c>
      <c r="M383" s="16">
        <v>39619</v>
      </c>
      <c r="N383" s="17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</row>
    <row r="384" spans="1:67" s="3" customFormat="1" x14ac:dyDescent="0.2">
      <c r="A384" s="14" t="s">
        <v>2986</v>
      </c>
      <c r="B384" s="14" t="s">
        <v>18</v>
      </c>
      <c r="C384" s="14">
        <v>2025</v>
      </c>
      <c r="D384" s="14" t="str">
        <f t="array" ref="D384">_xlfn.SWITCH(E384,"Bagor","35.18.14","Sukomoro",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84" s="13" t="s">
        <v>102</v>
      </c>
      <c r="F384" s="25" t="s">
        <v>614</v>
      </c>
      <c r="G384" s="25" t="s">
        <v>744</v>
      </c>
      <c r="H384" s="13" t="s">
        <v>20</v>
      </c>
      <c r="I384" s="14" t="s">
        <v>745</v>
      </c>
      <c r="J384" s="15">
        <v>1000</v>
      </c>
      <c r="K384" s="13" t="s">
        <v>45</v>
      </c>
      <c r="L384" s="22">
        <v>975000000</v>
      </c>
      <c r="M384" s="16">
        <v>39626</v>
      </c>
      <c r="N384" s="17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</row>
    <row r="385" spans="1:67" s="3" customFormat="1" x14ac:dyDescent="0.2">
      <c r="A385" s="14" t="s">
        <v>2986</v>
      </c>
      <c r="B385" s="14" t="s">
        <v>18</v>
      </c>
      <c r="C385" s="14">
        <v>2025</v>
      </c>
      <c r="D385" s="14" t="str">
        <f t="array" ref="D385">_xlfn.SWITCH(E385,"Bagor","35.18.14","Sukomoro",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85" s="13" t="s">
        <v>57</v>
      </c>
      <c r="F385" s="25" t="s">
        <v>746</v>
      </c>
      <c r="G385" s="25" t="s">
        <v>747</v>
      </c>
      <c r="H385" s="13" t="s">
        <v>748</v>
      </c>
      <c r="I385" s="14" t="s">
        <v>10</v>
      </c>
      <c r="J385" s="15">
        <v>663829848</v>
      </c>
      <c r="K385" s="13" t="s">
        <v>11</v>
      </c>
      <c r="L385" s="22">
        <v>248272363152</v>
      </c>
      <c r="M385" s="16">
        <v>39713</v>
      </c>
      <c r="N385" s="17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</row>
    <row r="386" spans="1:67" s="3" customFormat="1" x14ac:dyDescent="0.2">
      <c r="A386" s="14" t="s">
        <v>2986</v>
      </c>
      <c r="B386" s="14" t="s">
        <v>18</v>
      </c>
      <c r="C386" s="14">
        <v>2025</v>
      </c>
      <c r="D386" s="14" t="str">
        <f t="array" ref="D386">_xlfn.SWITCH(E386,"Jatikalen","35.18.20","Kertosono", "35.18.08","Lengkong","35.18.19","Loceret","35.18.04","Tanjunganom","35.18.11","Wilangan","35.18.15")</f>
        <v>35.18.04</v>
      </c>
      <c r="E386" s="13" t="s">
        <v>15</v>
      </c>
      <c r="F386" s="25" t="s">
        <v>749</v>
      </c>
      <c r="G386" s="25" t="s">
        <v>750</v>
      </c>
      <c r="H386" s="13" t="s">
        <v>9</v>
      </c>
      <c r="I386" s="14" t="s">
        <v>10</v>
      </c>
      <c r="J386" s="15">
        <v>6000000</v>
      </c>
      <c r="K386" s="13" t="s">
        <v>11</v>
      </c>
      <c r="L386" s="22">
        <f>J386*290</f>
        <v>1740000000</v>
      </c>
      <c r="M386" s="20" t="s">
        <v>708</v>
      </c>
      <c r="N386" s="17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</row>
    <row r="387" spans="1:67" s="3" customFormat="1" x14ac:dyDescent="0.2">
      <c r="A387" s="14" t="s">
        <v>2986</v>
      </c>
      <c r="B387" s="14" t="s">
        <v>18</v>
      </c>
      <c r="C387" s="14">
        <v>2025</v>
      </c>
      <c r="D387" s="14" t="str">
        <f t="array" ref="D387">_xlfn.SWITCH(E387,"Bagor","35.18.14","Sukomoro",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7" s="13" t="s">
        <v>18</v>
      </c>
      <c r="F387" s="25" t="s">
        <v>751</v>
      </c>
      <c r="G387" s="25" t="s">
        <v>752</v>
      </c>
      <c r="H387" s="13" t="s">
        <v>20</v>
      </c>
      <c r="I387" s="14" t="s">
        <v>21</v>
      </c>
      <c r="J387" s="15">
        <v>20</v>
      </c>
      <c r="K387" s="13" t="s">
        <v>37</v>
      </c>
      <c r="L387" s="22">
        <v>192000000</v>
      </c>
      <c r="M387" s="16">
        <v>39651</v>
      </c>
      <c r="N387" s="17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</row>
    <row r="388" spans="1:67" s="3" customFormat="1" x14ac:dyDescent="0.2">
      <c r="A388" s="14" t="s">
        <v>2986</v>
      </c>
      <c r="B388" s="14" t="s">
        <v>18</v>
      </c>
      <c r="C388" s="14">
        <v>2025</v>
      </c>
      <c r="D388" s="14" t="str">
        <f t="array" ref="D388">_xlfn.SWITCH(E388,"Bagor","35.18.14","Sukomoro",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8" s="13" t="s">
        <v>18</v>
      </c>
      <c r="F388" s="25" t="s">
        <v>753</v>
      </c>
      <c r="G388" s="25" t="s">
        <v>754</v>
      </c>
      <c r="H388" s="13" t="s">
        <v>9</v>
      </c>
      <c r="I388" s="14" t="s">
        <v>269</v>
      </c>
      <c r="J388" s="15">
        <v>4000</v>
      </c>
      <c r="K388" s="13" t="s">
        <v>94</v>
      </c>
      <c r="L388" s="22">
        <v>100000000</v>
      </c>
      <c r="M388" s="16">
        <v>39680</v>
      </c>
      <c r="N388" s="17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</row>
    <row r="389" spans="1:67" s="3" customFormat="1" x14ac:dyDescent="0.2">
      <c r="A389" s="14" t="s">
        <v>2986</v>
      </c>
      <c r="B389" s="14" t="s">
        <v>18</v>
      </c>
      <c r="C389" s="14">
        <v>2025</v>
      </c>
      <c r="D389" s="14" t="str">
        <f t="array" ref="D389">_xlfn.SWITCH(E389,"Bagor","35.18.14","Sukomoro",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89" s="13" t="s">
        <v>35</v>
      </c>
      <c r="F389" s="25" t="s">
        <v>35</v>
      </c>
      <c r="G389" s="25" t="s">
        <v>755</v>
      </c>
      <c r="H389" s="13" t="s">
        <v>9</v>
      </c>
      <c r="I389" s="14" t="s">
        <v>229</v>
      </c>
      <c r="J389" s="15">
        <v>100</v>
      </c>
      <c r="K389" s="13" t="s">
        <v>217</v>
      </c>
      <c r="L389" s="22">
        <v>50000000</v>
      </c>
      <c r="M389" s="18">
        <v>2006</v>
      </c>
      <c r="N389" s="17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</row>
    <row r="390" spans="1:67" s="3" customFormat="1" x14ac:dyDescent="0.2">
      <c r="A390" s="14" t="s">
        <v>2986</v>
      </c>
      <c r="B390" s="14" t="s">
        <v>18</v>
      </c>
      <c r="C390" s="14">
        <v>2025</v>
      </c>
      <c r="D390" s="14" t="str">
        <f t="array" ref="D390">_xlfn.SWITCH(E390,"Bagor","35.18.14","Sukomoro",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0" s="13" t="s">
        <v>35</v>
      </c>
      <c r="F390" s="25" t="s">
        <v>227</v>
      </c>
      <c r="G390" s="25" t="s">
        <v>756</v>
      </c>
      <c r="H390" s="13" t="s">
        <v>20</v>
      </c>
      <c r="I390" s="14" t="s">
        <v>229</v>
      </c>
      <c r="J390" s="15">
        <v>6500</v>
      </c>
      <c r="K390" s="13" t="s">
        <v>217</v>
      </c>
      <c r="L390" s="22">
        <v>2100000000</v>
      </c>
      <c r="M390" s="16">
        <v>39567</v>
      </c>
      <c r="N390" s="17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</row>
    <row r="391" spans="1:67" s="3" customFormat="1" x14ac:dyDescent="0.2">
      <c r="A391" s="14" t="s">
        <v>2986</v>
      </c>
      <c r="B391" s="14" t="s">
        <v>18</v>
      </c>
      <c r="C391" s="14">
        <v>2025</v>
      </c>
      <c r="D391" s="14" t="str">
        <f t="array" ref="D391">_xlfn.SWITCH(E391,"Bagor","35.18.14","Sukomoro",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1" s="13" t="s">
        <v>35</v>
      </c>
      <c r="F391" s="25" t="s">
        <v>227</v>
      </c>
      <c r="G391" s="25" t="s">
        <v>757</v>
      </c>
      <c r="H391" s="13" t="s">
        <v>20</v>
      </c>
      <c r="I391" s="14" t="s">
        <v>229</v>
      </c>
      <c r="J391" s="15">
        <v>7500</v>
      </c>
      <c r="K391" s="13" t="s">
        <v>217</v>
      </c>
      <c r="L391" s="22">
        <v>1975000000</v>
      </c>
      <c r="M391" s="16">
        <v>39567</v>
      </c>
      <c r="N391" s="17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</row>
    <row r="392" spans="1:67" s="3" customFormat="1" x14ac:dyDescent="0.2">
      <c r="A392" s="14" t="s">
        <v>2986</v>
      </c>
      <c r="B392" s="14" t="s">
        <v>18</v>
      </c>
      <c r="C392" s="14">
        <v>2025</v>
      </c>
      <c r="D392" s="14" t="str">
        <f t="array" ref="D392">_xlfn.SWITCH(E392,"Bagor","35.18.14","Sukomoro",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2" s="13" t="s">
        <v>35</v>
      </c>
      <c r="F392" s="25" t="s">
        <v>734</v>
      </c>
      <c r="G392" s="25" t="s">
        <v>758</v>
      </c>
      <c r="H392" s="13" t="s">
        <v>20</v>
      </c>
      <c r="I392" s="14" t="s">
        <v>229</v>
      </c>
      <c r="J392" s="15">
        <v>600</v>
      </c>
      <c r="K392" s="13" t="s">
        <v>217</v>
      </c>
      <c r="L392" s="22">
        <v>1850000000</v>
      </c>
      <c r="M392" s="16">
        <v>39644</v>
      </c>
      <c r="N392" s="17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</row>
    <row r="393" spans="1:67" s="3" customFormat="1" x14ac:dyDescent="0.2">
      <c r="A393" s="14" t="s">
        <v>2986</v>
      </c>
      <c r="B393" s="14" t="s">
        <v>18</v>
      </c>
      <c r="C393" s="14">
        <v>2025</v>
      </c>
      <c r="D393" s="14" t="str">
        <f t="array" ref="D393">_xlfn.SWITCH(E393,"Bagor","35.18.14","Sukomoro",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3" s="13" t="s">
        <v>35</v>
      </c>
      <c r="F393" s="25" t="s">
        <v>35</v>
      </c>
      <c r="G393" s="25" t="s">
        <v>759</v>
      </c>
      <c r="H393" s="13" t="s">
        <v>20</v>
      </c>
      <c r="I393" s="14" t="s">
        <v>229</v>
      </c>
      <c r="J393" s="15">
        <v>6000</v>
      </c>
      <c r="K393" s="13" t="s">
        <v>217</v>
      </c>
      <c r="L393" s="22">
        <v>3450000000</v>
      </c>
      <c r="M393" s="16">
        <v>39651</v>
      </c>
      <c r="N393" s="17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</row>
    <row r="394" spans="1:67" s="3" customFormat="1" x14ac:dyDescent="0.2">
      <c r="A394" s="14" t="s">
        <v>2986</v>
      </c>
      <c r="B394" s="14" t="s">
        <v>18</v>
      </c>
      <c r="C394" s="14">
        <v>2025</v>
      </c>
      <c r="D394" s="14" t="str">
        <f t="array" ref="D394">_xlfn.SWITCH(E394,"Bagor","35.18.14","Sukomoro",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4" s="13" t="s">
        <v>35</v>
      </c>
      <c r="F394" s="25" t="s">
        <v>698</v>
      </c>
      <c r="G394" s="25" t="s">
        <v>760</v>
      </c>
      <c r="H394" s="13" t="s">
        <v>20</v>
      </c>
      <c r="I394" s="14" t="s">
        <v>229</v>
      </c>
      <c r="J394" s="15">
        <v>1200</v>
      </c>
      <c r="K394" s="13" t="s">
        <v>217</v>
      </c>
      <c r="L394" s="22">
        <v>2750000000</v>
      </c>
      <c r="M394" s="16">
        <v>39777</v>
      </c>
      <c r="N394" s="17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</row>
    <row r="395" spans="1:67" s="3" customFormat="1" x14ac:dyDescent="0.2">
      <c r="A395" s="14" t="s">
        <v>2986</v>
      </c>
      <c r="B395" s="14" t="s">
        <v>18</v>
      </c>
      <c r="C395" s="14">
        <v>2025</v>
      </c>
      <c r="D395" s="14" t="str">
        <f t="array" ref="D395">_xlfn.SWITCH(E395,"Bagor","35.18.14","Sukomoro",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95" s="13" t="s">
        <v>91</v>
      </c>
      <c r="F395" s="25" t="s">
        <v>761</v>
      </c>
      <c r="G395" s="25" t="s">
        <v>762</v>
      </c>
      <c r="H395" s="13" t="s">
        <v>20</v>
      </c>
      <c r="I395" s="14" t="s">
        <v>21</v>
      </c>
      <c r="J395" s="15">
        <v>200</v>
      </c>
      <c r="K395" s="13" t="s">
        <v>37</v>
      </c>
      <c r="L395" s="22">
        <v>1395000000</v>
      </c>
      <c r="M395" s="16">
        <v>39497</v>
      </c>
      <c r="N395" s="17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</row>
    <row r="396" spans="1:67" s="3" customFormat="1" x14ac:dyDescent="0.2">
      <c r="A396" s="14" t="s">
        <v>2986</v>
      </c>
      <c r="B396" s="14" t="s">
        <v>18</v>
      </c>
      <c r="C396" s="14">
        <v>2025</v>
      </c>
      <c r="D396" s="14" t="str">
        <f t="array" ref="D396">_xlfn.SWITCH(E396,"Bagor","35.18.14","Sukomoro",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6" s="13" t="s">
        <v>98</v>
      </c>
      <c r="F396" s="25" t="s">
        <v>763</v>
      </c>
      <c r="G396" s="25" t="s">
        <v>764</v>
      </c>
      <c r="H396" s="13" t="s">
        <v>9</v>
      </c>
      <c r="I396" s="14" t="s">
        <v>10</v>
      </c>
      <c r="J396" s="15">
        <v>1000000</v>
      </c>
      <c r="K396" s="13" t="s">
        <v>11</v>
      </c>
      <c r="L396" s="22">
        <f>J396*400</f>
        <v>400000000</v>
      </c>
      <c r="M396" s="23" t="s">
        <v>765</v>
      </c>
      <c r="N396" s="17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</row>
    <row r="397" spans="1:67" s="3" customFormat="1" x14ac:dyDescent="0.2">
      <c r="A397" s="14" t="s">
        <v>2986</v>
      </c>
      <c r="B397" s="14" t="s">
        <v>18</v>
      </c>
      <c r="C397" s="14">
        <v>2025</v>
      </c>
      <c r="D397" s="14" t="str">
        <f t="array" ref="D397">_xlfn.SWITCH(E397,"Bagor","35.18.14","Sukomoro",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97" s="13" t="s">
        <v>84</v>
      </c>
      <c r="F397" s="25" t="s">
        <v>766</v>
      </c>
      <c r="G397" s="25" t="s">
        <v>367</v>
      </c>
      <c r="H397" s="13" t="s">
        <v>20</v>
      </c>
      <c r="I397" s="14" t="s">
        <v>164</v>
      </c>
      <c r="J397" s="15">
        <v>50</v>
      </c>
      <c r="K397" s="13" t="s">
        <v>53</v>
      </c>
      <c r="L397" s="22">
        <v>145000000</v>
      </c>
      <c r="M397" s="16">
        <v>39559</v>
      </c>
      <c r="N397" s="17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</row>
    <row r="398" spans="1:67" s="3" customFormat="1" x14ac:dyDescent="0.2">
      <c r="A398" s="14" t="s">
        <v>2986</v>
      </c>
      <c r="B398" s="14" t="s">
        <v>18</v>
      </c>
      <c r="C398" s="14">
        <v>2025</v>
      </c>
      <c r="D398" s="14" t="str">
        <f t="array" ref="D398">_xlfn.SWITCH(E398,"Bagor","35.18.14","Sukomoro",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98" s="13" t="s">
        <v>72</v>
      </c>
      <c r="F398" s="25" t="s">
        <v>767</v>
      </c>
      <c r="G398" s="25" t="s">
        <v>768</v>
      </c>
      <c r="H398" s="13" t="s">
        <v>20</v>
      </c>
      <c r="I398" s="14" t="s">
        <v>769</v>
      </c>
      <c r="J398" s="15">
        <v>300</v>
      </c>
      <c r="K398" s="13" t="s">
        <v>45</v>
      </c>
      <c r="L398" s="22">
        <v>7500000000</v>
      </c>
      <c r="M398" s="16">
        <v>39575</v>
      </c>
      <c r="N398" s="17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</row>
    <row r="399" spans="1:67" s="3" customFormat="1" x14ac:dyDescent="0.2">
      <c r="A399" s="14" t="s">
        <v>2986</v>
      </c>
      <c r="B399" s="14" t="s">
        <v>18</v>
      </c>
      <c r="C399" s="14">
        <v>2025</v>
      </c>
      <c r="D399" s="14" t="str">
        <f t="array" ref="D399">_xlfn.SWITCH(E399,"Bagor","35.18.14","Sukomoro",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9" s="13" t="s">
        <v>98</v>
      </c>
      <c r="F399" s="25" t="s">
        <v>770</v>
      </c>
      <c r="G399" s="25" t="s">
        <v>771</v>
      </c>
      <c r="H399" s="13" t="s">
        <v>20</v>
      </c>
      <c r="I399" s="14" t="s">
        <v>21</v>
      </c>
      <c r="J399" s="15">
        <v>100</v>
      </c>
      <c r="K399" s="13" t="s">
        <v>37</v>
      </c>
      <c r="L399" s="22">
        <v>710000000</v>
      </c>
      <c r="M399" s="16">
        <v>39610</v>
      </c>
      <c r="N399" s="17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</row>
    <row r="400" spans="1:67" s="3" customFormat="1" x14ac:dyDescent="0.2">
      <c r="A400" s="14" t="s">
        <v>2986</v>
      </c>
      <c r="B400" s="14" t="s">
        <v>18</v>
      </c>
      <c r="C400" s="14">
        <v>2025</v>
      </c>
      <c r="D400" s="14" t="str">
        <f t="array" ref="D400">_xlfn.SWITCH(E400,"Jatikalen","35.18.20","Kertosono", "35.18.08","Lengkong","35.18.19","Loceret","35.18.04","Tanjunganom","35.18.11","Wilangan","35.18.15")</f>
        <v>35.18.08</v>
      </c>
      <c r="E400" s="13" t="s">
        <v>75</v>
      </c>
      <c r="F400" s="25" t="s">
        <v>772</v>
      </c>
      <c r="G400" s="25" t="s">
        <v>773</v>
      </c>
      <c r="H400" s="13" t="s">
        <v>43</v>
      </c>
      <c r="I400" s="14" t="s">
        <v>736</v>
      </c>
      <c r="J400" s="15">
        <v>25000</v>
      </c>
      <c r="K400" s="13" t="s">
        <v>737</v>
      </c>
      <c r="L400" s="22">
        <v>200000000</v>
      </c>
      <c r="M400" s="16">
        <v>39615</v>
      </c>
      <c r="N400" s="17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</row>
    <row r="401" spans="1:67" s="3" customFormat="1" x14ac:dyDescent="0.2">
      <c r="A401" s="14" t="s">
        <v>2986</v>
      </c>
      <c r="B401" s="14" t="s">
        <v>18</v>
      </c>
      <c r="C401" s="14">
        <v>2025</v>
      </c>
      <c r="D401" s="14" t="str">
        <f t="array" ref="D401">_xlfn.SWITCH(E401,"Jatikalen","35.18.20","Kertosono", "35.18.08","Lengkong","35.18.19","Loceret","35.18.04","Tanjunganom","35.18.11","Wilangan","35.18.15")</f>
        <v>35.18.19</v>
      </c>
      <c r="E401" s="13" t="s">
        <v>30</v>
      </c>
      <c r="F401" s="25" t="s">
        <v>515</v>
      </c>
      <c r="G401" s="25" t="s">
        <v>33</v>
      </c>
      <c r="H401" s="13" t="s">
        <v>20</v>
      </c>
      <c r="I401" s="14" t="s">
        <v>21</v>
      </c>
      <c r="J401" s="15">
        <v>50</v>
      </c>
      <c r="K401" s="13" t="s">
        <v>37</v>
      </c>
      <c r="L401" s="22">
        <v>465000000</v>
      </c>
      <c r="M401" s="16">
        <v>39616</v>
      </c>
      <c r="N401" s="17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</row>
    <row r="402" spans="1:67" s="3" customFormat="1" x14ac:dyDescent="0.2">
      <c r="A402" s="14" t="s">
        <v>2986</v>
      </c>
      <c r="B402" s="14" t="s">
        <v>18</v>
      </c>
      <c r="C402" s="14">
        <v>2025</v>
      </c>
      <c r="D402" s="14" t="str">
        <f t="array" ref="D402">_xlfn.SWITCH(E402,"Jatikalen","35.18.20","Kertosono", "35.18.08","Lengkong","35.18.19","Loceret","35.18.04","Tanjunganom","35.18.11","Wilangan","35.18.15")</f>
        <v>35.18.11</v>
      </c>
      <c r="E402" s="13" t="s">
        <v>27</v>
      </c>
      <c r="F402" s="25" t="s">
        <v>774</v>
      </c>
      <c r="G402" s="25" t="s">
        <v>775</v>
      </c>
      <c r="H402" s="13" t="s">
        <v>20</v>
      </c>
      <c r="I402" s="14" t="s">
        <v>121</v>
      </c>
      <c r="J402" s="15">
        <v>7500</v>
      </c>
      <c r="K402" s="13" t="s">
        <v>217</v>
      </c>
      <c r="L402" s="22">
        <v>87500000</v>
      </c>
      <c r="M402" s="16">
        <v>39616</v>
      </c>
      <c r="N402" s="17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</row>
    <row r="403" spans="1:67" s="3" customFormat="1" x14ac:dyDescent="0.2">
      <c r="A403" s="14" t="s">
        <v>2986</v>
      </c>
      <c r="B403" s="14" t="s">
        <v>18</v>
      </c>
      <c r="C403" s="14">
        <v>2025</v>
      </c>
      <c r="D403" s="14" t="str">
        <f t="array" ref="D403">_xlfn.SWITCH(E403,"Bagor","35.18.14","Sukomoro",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03" s="13" t="s">
        <v>18</v>
      </c>
      <c r="F403" s="25" t="s">
        <v>776</v>
      </c>
      <c r="G403" s="25" t="s">
        <v>777</v>
      </c>
      <c r="H403" s="13" t="s">
        <v>20</v>
      </c>
      <c r="I403" s="14" t="s">
        <v>295</v>
      </c>
      <c r="J403" s="15">
        <v>100000</v>
      </c>
      <c r="K403" s="13" t="s">
        <v>778</v>
      </c>
      <c r="L403" s="22">
        <v>125000000</v>
      </c>
      <c r="M403" s="16">
        <v>39617</v>
      </c>
      <c r="N403" s="17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</row>
    <row r="404" spans="1:67" s="3" customFormat="1" x14ac:dyDescent="0.2">
      <c r="A404" s="14" t="s">
        <v>2986</v>
      </c>
      <c r="B404" s="14" t="s">
        <v>18</v>
      </c>
      <c r="C404" s="14">
        <v>2025</v>
      </c>
      <c r="D404" s="14" t="str">
        <f t="array" ref="D404">_xlfn.SWITCH(E404,"Bagor","35.18.14","Sukomoro",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04" s="13" t="s">
        <v>50</v>
      </c>
      <c r="F404" s="25" t="s">
        <v>297</v>
      </c>
      <c r="G404" s="25" t="s">
        <v>779</v>
      </c>
      <c r="H404" s="13" t="s">
        <v>20</v>
      </c>
      <c r="I404" s="14" t="s">
        <v>166</v>
      </c>
      <c r="J404" s="15">
        <v>33750</v>
      </c>
      <c r="K404" s="13" t="s">
        <v>627</v>
      </c>
      <c r="L404" s="22">
        <v>1012500000</v>
      </c>
      <c r="M404" s="16">
        <v>39618</v>
      </c>
      <c r="N404" s="17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</row>
    <row r="405" spans="1:67" s="3" customFormat="1" x14ac:dyDescent="0.2">
      <c r="A405" s="14" t="s">
        <v>2986</v>
      </c>
      <c r="B405" s="14" t="s">
        <v>18</v>
      </c>
      <c r="C405" s="14">
        <v>2025</v>
      </c>
      <c r="D405" s="14" t="str">
        <f t="array" ref="D405">_xlfn.SWITCH(E405,"Bagor","35.18.14","Sukomoro",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05" s="13" t="s">
        <v>72</v>
      </c>
      <c r="F405" s="25" t="s">
        <v>767</v>
      </c>
      <c r="G405" s="25" t="s">
        <v>780</v>
      </c>
      <c r="H405" s="13" t="s">
        <v>43</v>
      </c>
      <c r="I405" s="14" t="s">
        <v>781</v>
      </c>
      <c r="J405" s="15">
        <v>300</v>
      </c>
      <c r="K405" s="13" t="s">
        <v>45</v>
      </c>
      <c r="L405" s="22">
        <v>750000000</v>
      </c>
      <c r="M405" s="16">
        <v>39631</v>
      </c>
      <c r="N405" s="17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</row>
    <row r="406" spans="1:67" s="3" customFormat="1" x14ac:dyDescent="0.2">
      <c r="A406" s="14" t="s">
        <v>2986</v>
      </c>
      <c r="B406" s="14" t="s">
        <v>18</v>
      </c>
      <c r="C406" s="14">
        <v>2025</v>
      </c>
      <c r="D406" s="14" t="str">
        <f t="array" ref="D406">_xlfn.SWITCH(E406,"Bagor","35.18.14","Sukomoro",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06" s="13" t="s">
        <v>24</v>
      </c>
      <c r="F406" s="25" t="s">
        <v>23</v>
      </c>
      <c r="G406" s="25" t="s">
        <v>782</v>
      </c>
      <c r="H406" s="13" t="s">
        <v>20</v>
      </c>
      <c r="I406" s="14" t="s">
        <v>109</v>
      </c>
      <c r="J406" s="15">
        <v>24</v>
      </c>
      <c r="K406" s="13" t="s">
        <v>45</v>
      </c>
      <c r="L406" s="22">
        <v>48000000</v>
      </c>
      <c r="M406" s="16">
        <v>39665</v>
      </c>
      <c r="N406" s="17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</row>
    <row r="407" spans="1:67" s="3" customFormat="1" x14ac:dyDescent="0.2">
      <c r="A407" s="14" t="s">
        <v>2986</v>
      </c>
      <c r="B407" s="14" t="s">
        <v>18</v>
      </c>
      <c r="C407" s="14">
        <v>2025</v>
      </c>
      <c r="D407" s="14" t="str">
        <f t="array" ref="D407">_xlfn.SWITCH(E407,"Bagor","35.18.14","Sukomoro",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07" s="13" t="s">
        <v>98</v>
      </c>
      <c r="F407" s="25" t="s">
        <v>649</v>
      </c>
      <c r="G407" s="25" t="s">
        <v>783</v>
      </c>
      <c r="H407" s="13" t="s">
        <v>43</v>
      </c>
      <c r="I407" s="14" t="s">
        <v>745</v>
      </c>
      <c r="J407" s="15">
        <v>17500</v>
      </c>
      <c r="K407" s="13" t="s">
        <v>45</v>
      </c>
      <c r="L407" s="22">
        <v>23500000000</v>
      </c>
      <c r="M407" s="16">
        <v>39680</v>
      </c>
      <c r="N407" s="17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</row>
    <row r="408" spans="1:67" s="3" customFormat="1" x14ac:dyDescent="0.2">
      <c r="A408" s="14" t="s">
        <v>2986</v>
      </c>
      <c r="B408" s="14" t="s">
        <v>18</v>
      </c>
      <c r="C408" s="14">
        <v>2025</v>
      </c>
      <c r="D408" s="14" t="str">
        <f t="array" ref="D408">_xlfn.SWITCH(E408,"Jatikalen","35.18.20","Kertosono", "35.18.08","Lengkong","35.18.19","Loceret","35.18.04","Tanjunganom","35.18.11","Wilangan","35.18.15")</f>
        <v>35.18.11</v>
      </c>
      <c r="E408" s="13" t="s">
        <v>27</v>
      </c>
      <c r="F408" s="25" t="s">
        <v>693</v>
      </c>
      <c r="G408" s="25" t="s">
        <v>784</v>
      </c>
      <c r="H408" s="13" t="s">
        <v>20</v>
      </c>
      <c r="I408" s="14" t="s">
        <v>164</v>
      </c>
      <c r="J408" s="15">
        <v>100</v>
      </c>
      <c r="K408" s="13" t="s">
        <v>22</v>
      </c>
      <c r="L408" s="22">
        <v>250000000</v>
      </c>
      <c r="M408" s="16">
        <v>39686</v>
      </c>
      <c r="N408" s="17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</row>
    <row r="409" spans="1:67" s="3" customFormat="1" x14ac:dyDescent="0.2">
      <c r="A409" s="14" t="s">
        <v>2986</v>
      </c>
      <c r="B409" s="14" t="s">
        <v>18</v>
      </c>
      <c r="C409" s="14">
        <v>2025</v>
      </c>
      <c r="D409" s="14" t="str">
        <f t="array" ref="D409">_xlfn.SWITCH(E409,"Bagor","35.18.14","Sukomoro",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09" s="13" t="s">
        <v>7</v>
      </c>
      <c r="F409" s="25" t="s">
        <v>161</v>
      </c>
      <c r="G409" s="25" t="s">
        <v>785</v>
      </c>
      <c r="H409" s="13" t="s">
        <v>43</v>
      </c>
      <c r="I409" s="14" t="s">
        <v>786</v>
      </c>
      <c r="J409" s="15">
        <v>250</v>
      </c>
      <c r="K409" s="13" t="s">
        <v>22</v>
      </c>
      <c r="L409" s="22">
        <v>62500000</v>
      </c>
      <c r="M409" s="16">
        <v>39687</v>
      </c>
      <c r="N409" s="17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</row>
    <row r="410" spans="1:67" s="3" customFormat="1" x14ac:dyDescent="0.2">
      <c r="A410" s="14" t="s">
        <v>2986</v>
      </c>
      <c r="B410" s="14" t="s">
        <v>18</v>
      </c>
      <c r="C410" s="14">
        <v>2025</v>
      </c>
      <c r="D410" s="14" t="str">
        <f t="array" ref="D410">_xlfn.SWITCH(E410,"Jatikalen","35.18.20","Kertosono", "35.18.08","Lengkong","35.18.19","Loceret","35.18.04","Tanjunganom","35.18.11","Wilangan","35.18.15")</f>
        <v>35.18.08</v>
      </c>
      <c r="E410" s="13" t="s">
        <v>75</v>
      </c>
      <c r="F410" s="25" t="s">
        <v>787</v>
      </c>
      <c r="G410" s="25" t="s">
        <v>788</v>
      </c>
      <c r="H410" s="13" t="s">
        <v>20</v>
      </c>
      <c r="I410" s="14" t="s">
        <v>36</v>
      </c>
      <c r="J410" s="15">
        <v>25</v>
      </c>
      <c r="K410" s="13" t="s">
        <v>37</v>
      </c>
      <c r="L410" s="22">
        <v>152000000</v>
      </c>
      <c r="M410" s="16">
        <v>39784</v>
      </c>
      <c r="N410" s="17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</row>
    <row r="411" spans="1:67" s="3" customFormat="1" x14ac:dyDescent="0.2">
      <c r="A411" s="14" t="s">
        <v>2986</v>
      </c>
      <c r="B411" s="14" t="s">
        <v>18</v>
      </c>
      <c r="C411" s="14">
        <v>2025</v>
      </c>
      <c r="D411" s="14" t="str">
        <f t="array" ref="D411">_xlfn.SWITCH(E411,"Jatikalen","35.18.20","Kertosono", "35.18.08","Lengkong","35.18.19","Loceret","35.18.04","Tanjunganom","35.18.11","Wilangan","35.18.15")</f>
        <v>35.18.11</v>
      </c>
      <c r="E411" s="13" t="s">
        <v>27</v>
      </c>
      <c r="F411" s="25" t="s">
        <v>107</v>
      </c>
      <c r="G411" s="25" t="s">
        <v>789</v>
      </c>
      <c r="H411" s="13" t="s">
        <v>9</v>
      </c>
      <c r="I411" s="14" t="s">
        <v>10</v>
      </c>
      <c r="J411" s="15">
        <v>6000000</v>
      </c>
      <c r="K411" s="13" t="s">
        <v>11</v>
      </c>
      <c r="L411" s="22">
        <v>2244000000</v>
      </c>
      <c r="M411" s="26">
        <v>39744</v>
      </c>
      <c r="N411" s="17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</row>
    <row r="412" spans="1:67" s="3" customFormat="1" x14ac:dyDescent="0.2">
      <c r="A412" s="14" t="s">
        <v>2986</v>
      </c>
      <c r="B412" s="14" t="s">
        <v>18</v>
      </c>
      <c r="C412" s="14">
        <v>2025</v>
      </c>
      <c r="D412" s="14" t="str">
        <f t="array" ref="D412">_xlfn.SWITCH(E412,"Bagor","35.18.14","Sukomoro",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412" s="13" t="s">
        <v>119</v>
      </c>
      <c r="F412" s="25" t="s">
        <v>438</v>
      </c>
      <c r="G412" s="25" t="s">
        <v>790</v>
      </c>
      <c r="H412" s="13" t="s">
        <v>20</v>
      </c>
      <c r="I412" s="14" t="s">
        <v>36</v>
      </c>
      <c r="J412" s="15">
        <v>40</v>
      </c>
      <c r="K412" s="13" t="s">
        <v>37</v>
      </c>
      <c r="L412" s="22">
        <v>265000000</v>
      </c>
      <c r="M412" s="16">
        <v>39741</v>
      </c>
      <c r="N412" s="17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</row>
    <row r="413" spans="1:67" s="3" customFormat="1" x14ac:dyDescent="0.2">
      <c r="A413" s="14" t="s">
        <v>2986</v>
      </c>
      <c r="B413" s="14" t="s">
        <v>18</v>
      </c>
      <c r="C413" s="14">
        <v>2025</v>
      </c>
      <c r="D413" s="14" t="str">
        <f t="array" ref="D413">_xlfn.SWITCH(E413,"Bagor","35.18.14","Sukomoro",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13" s="13" t="s">
        <v>18</v>
      </c>
      <c r="F413" s="25" t="s">
        <v>791</v>
      </c>
      <c r="G413" s="25" t="s">
        <v>792</v>
      </c>
      <c r="H413" s="13" t="s">
        <v>20</v>
      </c>
      <c r="I413" s="14" t="s">
        <v>166</v>
      </c>
      <c r="J413" s="15">
        <v>60000</v>
      </c>
      <c r="K413" s="13" t="s">
        <v>167</v>
      </c>
      <c r="L413" s="22">
        <v>1754500000</v>
      </c>
      <c r="M413" s="18">
        <v>2007</v>
      </c>
      <c r="N413" s="17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</row>
    <row r="414" spans="1:67" s="3" customFormat="1" x14ac:dyDescent="0.2">
      <c r="A414" s="14" t="s">
        <v>2986</v>
      </c>
      <c r="B414" s="14" t="s">
        <v>18</v>
      </c>
      <c r="C414" s="14">
        <v>2025</v>
      </c>
      <c r="D414" s="14" t="str">
        <f t="array" ref="D414">_xlfn.SWITCH(E414,"Jatikalen","35.18.20","Kertosono", "35.18.08","Lengkong","35.18.19","Loceret","35.18.04","Tanjunganom","35.18.11","Wilangan","35.18.15")</f>
        <v>35.18.11</v>
      </c>
      <c r="E414" s="13" t="s">
        <v>27</v>
      </c>
      <c r="F414" s="25" t="s">
        <v>793</v>
      </c>
      <c r="G414" s="25" t="s">
        <v>794</v>
      </c>
      <c r="H414" s="13" t="s">
        <v>9</v>
      </c>
      <c r="I414" s="14" t="s">
        <v>795</v>
      </c>
      <c r="J414" s="15">
        <v>600</v>
      </c>
      <c r="K414" s="13" t="s">
        <v>135</v>
      </c>
      <c r="L414" s="22">
        <v>45000000</v>
      </c>
      <c r="M414" s="18">
        <v>2008</v>
      </c>
      <c r="N414" s="17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</row>
    <row r="415" spans="1:67" s="3" customFormat="1" x14ac:dyDescent="0.2">
      <c r="A415" s="14" t="s">
        <v>2986</v>
      </c>
      <c r="B415" s="14" t="s">
        <v>18</v>
      </c>
      <c r="C415" s="14">
        <v>2025</v>
      </c>
      <c r="D415" s="14" t="str">
        <f t="array" ref="D415">_xlfn.SWITCH(E415,"Jatikalen","35.18.20","Kertosono", "35.18.08","Lengkong","35.18.19","Loceret","35.18.04","Tanjunganom","35.18.11","Wilangan","35.18.15")</f>
        <v>35.18.04</v>
      </c>
      <c r="E415" s="13" t="s">
        <v>15</v>
      </c>
      <c r="F415" s="25" t="s">
        <v>15</v>
      </c>
      <c r="G415" s="25" t="s">
        <v>796</v>
      </c>
      <c r="H415" s="13" t="s">
        <v>20</v>
      </c>
      <c r="I415" s="14" t="s">
        <v>797</v>
      </c>
      <c r="J415" s="15">
        <v>550</v>
      </c>
      <c r="K415" s="13" t="s">
        <v>148</v>
      </c>
      <c r="L415" s="22">
        <v>16500000</v>
      </c>
      <c r="M415" s="18">
        <v>2008</v>
      </c>
      <c r="N415" s="17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</row>
    <row r="416" spans="1:67" s="3" customFormat="1" x14ac:dyDescent="0.2">
      <c r="A416" s="14" t="s">
        <v>2986</v>
      </c>
      <c r="B416" s="14" t="s">
        <v>18</v>
      </c>
      <c r="C416" s="14">
        <v>2025</v>
      </c>
      <c r="D416" s="14" t="str">
        <f t="array" ref="D416">_xlfn.SWITCH(E416,"Bagor","35.18.14","Sukomoro",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16" s="13" t="s">
        <v>50</v>
      </c>
      <c r="F416" s="25" t="s">
        <v>297</v>
      </c>
      <c r="G416" s="25" t="s">
        <v>798</v>
      </c>
      <c r="H416" s="13" t="s">
        <v>20</v>
      </c>
      <c r="I416" s="14" t="s">
        <v>166</v>
      </c>
      <c r="J416" s="15">
        <v>31500</v>
      </c>
      <c r="K416" s="13" t="s">
        <v>627</v>
      </c>
      <c r="L416" s="22">
        <v>945000000</v>
      </c>
      <c r="M416" s="16">
        <v>39745</v>
      </c>
      <c r="N416" s="17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</row>
    <row r="417" spans="1:67" s="3" customFormat="1" x14ac:dyDescent="0.2">
      <c r="A417" s="14" t="s">
        <v>2986</v>
      </c>
      <c r="B417" s="14" t="s">
        <v>18</v>
      </c>
      <c r="C417" s="14">
        <v>2025</v>
      </c>
      <c r="D417" s="14" t="str">
        <f t="array" ref="D417">_xlfn.SWITCH(E417,"Bagor","35.18.14","Sukomoro",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17" s="13" t="s">
        <v>35</v>
      </c>
      <c r="F417" s="25" t="s">
        <v>35</v>
      </c>
      <c r="G417" s="25" t="s">
        <v>799</v>
      </c>
      <c r="H417" s="13" t="s">
        <v>43</v>
      </c>
      <c r="I417" s="14" t="s">
        <v>21</v>
      </c>
      <c r="J417" s="15">
        <v>160</v>
      </c>
      <c r="K417" s="13" t="s">
        <v>37</v>
      </c>
      <c r="L417" s="22">
        <v>1318500000</v>
      </c>
      <c r="M417" s="16">
        <v>39735</v>
      </c>
      <c r="N417" s="17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</row>
    <row r="418" spans="1:67" s="3" customFormat="1" x14ac:dyDescent="0.2">
      <c r="A418" s="14" t="s">
        <v>2986</v>
      </c>
      <c r="B418" s="14" t="s">
        <v>18</v>
      </c>
      <c r="C418" s="14">
        <v>2025</v>
      </c>
      <c r="D418" s="14" t="str">
        <f t="array" ref="D418">_xlfn.SWITCH(E418,"Jatikalen","35.18.20","Kertosono", "35.18.08","Lengkong","35.18.19","Loceret","35.18.04","Tanjunganom","35.18.11","Wilangan","35.18.15")</f>
        <v>35.18.20</v>
      </c>
      <c r="E418" s="13" t="s">
        <v>801</v>
      </c>
      <c r="F418" s="25" t="s">
        <v>800</v>
      </c>
      <c r="G418" s="25" t="s">
        <v>802</v>
      </c>
      <c r="H418" s="13" t="s">
        <v>20</v>
      </c>
      <c r="I418" s="14" t="s">
        <v>21</v>
      </c>
      <c r="J418" s="15">
        <v>50</v>
      </c>
      <c r="K418" s="13" t="s">
        <v>37</v>
      </c>
      <c r="L418" s="22">
        <v>575000000</v>
      </c>
      <c r="M418" s="16">
        <v>39735</v>
      </c>
      <c r="N418" s="17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</row>
    <row r="419" spans="1:67" s="3" customFormat="1" x14ac:dyDescent="0.2">
      <c r="A419" s="14" t="s">
        <v>2986</v>
      </c>
      <c r="B419" s="14" t="s">
        <v>18</v>
      </c>
      <c r="C419" s="14">
        <v>2025</v>
      </c>
      <c r="D419" s="14" t="str">
        <f t="array" ref="D419">_xlfn.SWITCH(E419,"Bagor","35.18.14","Sukomoro",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19" s="13" t="s">
        <v>98</v>
      </c>
      <c r="F419" s="25" t="s">
        <v>104</v>
      </c>
      <c r="G419" s="25" t="s">
        <v>803</v>
      </c>
      <c r="H419" s="13" t="s">
        <v>20</v>
      </c>
      <c r="I419" s="14" t="s">
        <v>21</v>
      </c>
      <c r="J419" s="15">
        <v>50</v>
      </c>
      <c r="K419" s="13" t="s">
        <v>37</v>
      </c>
      <c r="L419" s="22">
        <v>545500000</v>
      </c>
      <c r="M419" s="16">
        <v>39735</v>
      </c>
      <c r="N419" s="17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</row>
    <row r="420" spans="1:67" s="3" customFormat="1" x14ac:dyDescent="0.2">
      <c r="A420" s="14" t="s">
        <v>2986</v>
      </c>
      <c r="B420" s="14" t="s">
        <v>18</v>
      </c>
      <c r="C420" s="14">
        <v>2025</v>
      </c>
      <c r="D420" s="14" t="str">
        <f t="array" ref="D420">_xlfn.SWITCH(E420,"Jatikalen","35.18.20","Kertosono", "35.18.08","Lengkong","35.18.19","Loceret","35.18.04","Tanjunganom","35.18.11","Wilangan","35.18.15")</f>
        <v>35.18.11</v>
      </c>
      <c r="E420" s="13" t="s">
        <v>27</v>
      </c>
      <c r="F420" s="25" t="s">
        <v>677</v>
      </c>
      <c r="G420" s="25" t="s">
        <v>804</v>
      </c>
      <c r="H420" s="13" t="s">
        <v>20</v>
      </c>
      <c r="I420" s="14" t="s">
        <v>21</v>
      </c>
      <c r="J420" s="15">
        <v>6</v>
      </c>
      <c r="K420" s="13" t="s">
        <v>37</v>
      </c>
      <c r="L420" s="22">
        <v>53500000</v>
      </c>
      <c r="M420" s="16">
        <v>39734</v>
      </c>
      <c r="N420" s="17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</row>
    <row r="421" spans="1:67" s="3" customFormat="1" x14ac:dyDescent="0.2">
      <c r="A421" s="14" t="s">
        <v>2986</v>
      </c>
      <c r="B421" s="14" t="s">
        <v>18</v>
      </c>
      <c r="C421" s="14">
        <v>2025</v>
      </c>
      <c r="D421" s="14" t="str">
        <f t="array" ref="D421">_xlfn.SWITCH(E421,"Bagor","35.18.14","Sukomoro",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1" s="13" t="s">
        <v>50</v>
      </c>
      <c r="F421" s="25" t="s">
        <v>80</v>
      </c>
      <c r="G421" s="25" t="s">
        <v>805</v>
      </c>
      <c r="H421" s="13" t="s">
        <v>20</v>
      </c>
      <c r="I421" s="14" t="s">
        <v>659</v>
      </c>
      <c r="J421" s="15">
        <v>120</v>
      </c>
      <c r="K421" s="13" t="s">
        <v>45</v>
      </c>
      <c r="L421" s="22">
        <v>256000000</v>
      </c>
      <c r="M421" s="16">
        <v>39778</v>
      </c>
      <c r="N421" s="17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</row>
    <row r="422" spans="1:67" s="3" customFormat="1" x14ac:dyDescent="0.2">
      <c r="A422" s="14" t="s">
        <v>2986</v>
      </c>
      <c r="B422" s="14" t="s">
        <v>18</v>
      </c>
      <c r="C422" s="14">
        <v>2025</v>
      </c>
      <c r="D422" s="14" t="str">
        <f t="array" ref="D422">_xlfn.SWITCH(E422,"Bagor","35.18.14","Sukomoro",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2" s="13" t="s">
        <v>18</v>
      </c>
      <c r="F422" s="25" t="s">
        <v>131</v>
      </c>
      <c r="G422" s="25" t="s">
        <v>806</v>
      </c>
      <c r="H422" s="13" t="s">
        <v>9</v>
      </c>
      <c r="I422" s="14" t="s">
        <v>10</v>
      </c>
      <c r="J422" s="15">
        <v>500000</v>
      </c>
      <c r="K422" s="13" t="s">
        <v>11</v>
      </c>
      <c r="L422" s="22">
        <v>207500000</v>
      </c>
      <c r="M422" s="20" t="s">
        <v>807</v>
      </c>
      <c r="N422" s="17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</row>
    <row r="423" spans="1:67" s="3" customFormat="1" x14ac:dyDescent="0.2">
      <c r="A423" s="14" t="s">
        <v>2986</v>
      </c>
      <c r="B423" s="14" t="s">
        <v>18</v>
      </c>
      <c r="C423" s="14">
        <v>2025</v>
      </c>
      <c r="D423" s="14" t="str">
        <f t="array" ref="D423">_xlfn.SWITCH(E423,"Bagor","35.18.14","Sukomoro",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3" s="13" t="s">
        <v>50</v>
      </c>
      <c r="F423" s="25" t="s">
        <v>808</v>
      </c>
      <c r="G423" s="25" t="s">
        <v>809</v>
      </c>
      <c r="H423" s="13" t="s">
        <v>20</v>
      </c>
      <c r="I423" s="14" t="s">
        <v>166</v>
      </c>
      <c r="J423" s="15">
        <v>20000</v>
      </c>
      <c r="K423" s="13" t="s">
        <v>627</v>
      </c>
      <c r="L423" s="22">
        <f>30000*J423</f>
        <v>600000000</v>
      </c>
      <c r="M423" s="16">
        <v>39786</v>
      </c>
      <c r="N423" s="17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</row>
    <row r="424" spans="1:67" s="3" customFormat="1" x14ac:dyDescent="0.2">
      <c r="A424" s="14" t="s">
        <v>2986</v>
      </c>
      <c r="B424" s="14" t="s">
        <v>18</v>
      </c>
      <c r="C424" s="14">
        <v>2025</v>
      </c>
      <c r="D424" s="14" t="str">
        <f t="array" ref="D424">_xlfn.SWITCH(E424,"Jatikalen","35.18.20","Kertosono", "35.18.08","Lengkong","35.18.19","Loceret","35.18.04","Tanjunganom","35.18.11","Wilangan","35.18.15")</f>
        <v>35.18.08</v>
      </c>
      <c r="E424" s="13" t="s">
        <v>75</v>
      </c>
      <c r="F424" s="25" t="s">
        <v>810</v>
      </c>
      <c r="G424" s="25" t="s">
        <v>811</v>
      </c>
      <c r="H424" s="13" t="s">
        <v>20</v>
      </c>
      <c r="I424" s="14" t="s">
        <v>21</v>
      </c>
      <c r="J424" s="15">
        <v>60</v>
      </c>
      <c r="K424" s="13" t="s">
        <v>37</v>
      </c>
      <c r="L424" s="22">
        <v>455000000</v>
      </c>
      <c r="M424" s="16">
        <v>39786</v>
      </c>
      <c r="N424" s="17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</row>
    <row r="425" spans="1:67" s="3" customFormat="1" x14ac:dyDescent="0.2">
      <c r="A425" s="14" t="s">
        <v>2986</v>
      </c>
      <c r="B425" s="14" t="s">
        <v>18</v>
      </c>
      <c r="C425" s="14">
        <v>2025</v>
      </c>
      <c r="D425" s="14" t="str">
        <f t="array" ref="D425">_xlfn.SWITCH(E425,"Bagor","35.18.14","Sukomoro",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5" s="13" t="s">
        <v>18</v>
      </c>
      <c r="F425" s="25" t="s">
        <v>812</v>
      </c>
      <c r="G425" s="25" t="s">
        <v>813</v>
      </c>
      <c r="H425" s="13" t="s">
        <v>9</v>
      </c>
      <c r="I425" s="14" t="s">
        <v>690</v>
      </c>
      <c r="J425" s="15">
        <v>120</v>
      </c>
      <c r="K425" s="13" t="s">
        <v>217</v>
      </c>
      <c r="L425" s="22">
        <v>17500000</v>
      </c>
      <c r="M425" s="16">
        <v>39784</v>
      </c>
      <c r="N425" s="17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</row>
    <row r="426" spans="1:67" s="3" customFormat="1" x14ac:dyDescent="0.2">
      <c r="A426" s="14" t="s">
        <v>2986</v>
      </c>
      <c r="B426" s="14" t="s">
        <v>18</v>
      </c>
      <c r="C426" s="14">
        <v>2025</v>
      </c>
      <c r="D426" s="14" t="str">
        <f t="array" ref="D426">_xlfn.SWITCH(E426,"Bagor","35.18.14","Sukomoro",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26" s="13" t="s">
        <v>91</v>
      </c>
      <c r="F426" s="25" t="s">
        <v>104</v>
      </c>
      <c r="G426" s="25" t="s">
        <v>814</v>
      </c>
      <c r="H426" s="13" t="s">
        <v>20</v>
      </c>
      <c r="I426" s="14" t="s">
        <v>815</v>
      </c>
      <c r="J426" s="15" t="s">
        <v>816</v>
      </c>
      <c r="K426" s="13" t="s">
        <v>817</v>
      </c>
      <c r="L426" s="22">
        <v>264000000</v>
      </c>
      <c r="M426" s="16">
        <v>39812</v>
      </c>
      <c r="N426" s="17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</row>
    <row r="427" spans="1:67" s="3" customFormat="1" x14ac:dyDescent="0.2">
      <c r="A427" s="14" t="s">
        <v>2986</v>
      </c>
      <c r="B427" s="14" t="s">
        <v>18</v>
      </c>
      <c r="C427" s="14">
        <v>2025</v>
      </c>
      <c r="D427" s="14" t="str">
        <f t="array" ref="D427">_xlfn.SWITCH(E427,"Bagor","35.18.14","Sukomoro",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27" s="13" t="s">
        <v>7</v>
      </c>
      <c r="F427" s="25" t="s">
        <v>124</v>
      </c>
      <c r="G427" s="25" t="s">
        <v>818</v>
      </c>
      <c r="H427" s="13" t="s">
        <v>20</v>
      </c>
      <c r="I427" s="14" t="s">
        <v>21</v>
      </c>
      <c r="J427" s="15">
        <v>20</v>
      </c>
      <c r="K427" s="13" t="s">
        <v>37</v>
      </c>
      <c r="L427" s="22">
        <v>153450000</v>
      </c>
      <c r="M427" s="16">
        <v>39798</v>
      </c>
      <c r="N427" s="17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</row>
    <row r="428" spans="1:67" s="3" customFormat="1" x14ac:dyDescent="0.2">
      <c r="A428" s="14" t="s">
        <v>2986</v>
      </c>
      <c r="B428" s="14" t="s">
        <v>18</v>
      </c>
      <c r="C428" s="14">
        <v>2025</v>
      </c>
      <c r="D428" s="14" t="str">
        <f t="array" ref="D428">_xlfn.SWITCH(E428,"Bagor","35.18.14","Sukomoro",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8" s="13" t="s">
        <v>18</v>
      </c>
      <c r="F428" s="25" t="s">
        <v>819</v>
      </c>
      <c r="G428" s="25" t="s">
        <v>820</v>
      </c>
      <c r="H428" s="13" t="s">
        <v>43</v>
      </c>
      <c r="I428" s="14" t="s">
        <v>295</v>
      </c>
      <c r="J428" s="15">
        <v>12500</v>
      </c>
      <c r="K428" s="13" t="s">
        <v>296</v>
      </c>
      <c r="L428" s="22">
        <v>222500000</v>
      </c>
      <c r="M428" s="16">
        <v>39798</v>
      </c>
      <c r="N428" s="17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</row>
    <row r="429" spans="1:67" s="3" customFormat="1" ht="20" x14ac:dyDescent="0.2">
      <c r="A429" s="14" t="s">
        <v>2986</v>
      </c>
      <c r="B429" s="14" t="s">
        <v>18</v>
      </c>
      <c r="C429" s="14">
        <v>2025</v>
      </c>
      <c r="D429" s="14" t="str">
        <f t="array" ref="D429">_xlfn.SWITCH(E429,"Jatikalen","35.18.20","Kertosono", "35.18.08","Lengkong","35.18.19","Loceret","35.18.04","Tanjunganom","35.18.11","Wilangan","35.18.15")</f>
        <v>35.18.04</v>
      </c>
      <c r="E429" s="13" t="s">
        <v>15</v>
      </c>
      <c r="F429" s="25" t="s">
        <v>821</v>
      </c>
      <c r="G429" s="25" t="s">
        <v>822</v>
      </c>
      <c r="H429" s="13" t="s">
        <v>20</v>
      </c>
      <c r="I429" s="14" t="s">
        <v>823</v>
      </c>
      <c r="J429" s="15">
        <v>23.2</v>
      </c>
      <c r="K429" s="13" t="s">
        <v>45</v>
      </c>
      <c r="L429" s="22">
        <f>J429*5000000</f>
        <v>116000000</v>
      </c>
      <c r="M429" s="36" t="s">
        <v>824</v>
      </c>
      <c r="N429" s="17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</row>
    <row r="430" spans="1:67" s="3" customFormat="1" x14ac:dyDescent="0.2">
      <c r="A430" s="14" t="s">
        <v>2986</v>
      </c>
      <c r="B430" s="14" t="s">
        <v>18</v>
      </c>
      <c r="C430" s="14">
        <v>2025</v>
      </c>
      <c r="D430" s="14" t="str">
        <f t="array" ref="D430">_xlfn.SWITCH(E430,"Bagor","35.18.14","Sukomoro",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0" s="13" t="s">
        <v>24</v>
      </c>
      <c r="F430" s="25" t="s">
        <v>825</v>
      </c>
      <c r="G430" s="25" t="s">
        <v>826</v>
      </c>
      <c r="H430" s="13" t="s">
        <v>20</v>
      </c>
      <c r="I430" s="14" t="s">
        <v>795</v>
      </c>
      <c r="J430" s="15">
        <v>1500</v>
      </c>
      <c r="K430" s="13" t="s">
        <v>296</v>
      </c>
      <c r="L430" s="22">
        <f>J430*75000</f>
        <v>112500000</v>
      </c>
      <c r="M430" s="36" t="s">
        <v>824</v>
      </c>
      <c r="N430" s="17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</row>
    <row r="431" spans="1:67" s="3" customFormat="1" ht="20" x14ac:dyDescent="0.2">
      <c r="A431" s="14" t="s">
        <v>2986</v>
      </c>
      <c r="B431" s="14" t="s">
        <v>18</v>
      </c>
      <c r="C431" s="14">
        <v>2025</v>
      </c>
      <c r="D431" s="14" t="str">
        <f t="array" ref="D431">_xlfn.SWITCH(E431,"Bagor","35.18.14","Sukomoro",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1" s="13" t="s">
        <v>50</v>
      </c>
      <c r="F431" s="25" t="s">
        <v>827</v>
      </c>
      <c r="G431" s="25" t="s">
        <v>828</v>
      </c>
      <c r="H431" s="13" t="s">
        <v>20</v>
      </c>
      <c r="I431" s="14" t="s">
        <v>166</v>
      </c>
      <c r="J431" s="15">
        <v>20000</v>
      </c>
      <c r="K431" s="13" t="s">
        <v>627</v>
      </c>
      <c r="L431" s="22">
        <f>29500*J431</f>
        <v>590000000</v>
      </c>
      <c r="M431" s="36" t="s">
        <v>824</v>
      </c>
      <c r="N431" s="17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</row>
    <row r="432" spans="1:67" s="3" customFormat="1" x14ac:dyDescent="0.2">
      <c r="A432" s="14" t="s">
        <v>2986</v>
      </c>
      <c r="B432" s="14" t="s">
        <v>18</v>
      </c>
      <c r="C432" s="14">
        <v>2025</v>
      </c>
      <c r="D432" s="14" t="str">
        <f t="array" ref="D432">_xlfn.SWITCH(E432,"Bagor","35.18.14","Sukomoro",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32" s="13" t="s">
        <v>7</v>
      </c>
      <c r="F432" s="25" t="s">
        <v>829</v>
      </c>
      <c r="G432" s="25" t="s">
        <v>830</v>
      </c>
      <c r="H432" s="13" t="s">
        <v>20</v>
      </c>
      <c r="I432" s="14" t="s">
        <v>61</v>
      </c>
      <c r="J432" s="15">
        <v>35</v>
      </c>
      <c r="K432" s="13" t="s">
        <v>37</v>
      </c>
      <c r="L432" s="22">
        <f>10000000*J432</f>
        <v>350000000</v>
      </c>
      <c r="M432" s="36" t="s">
        <v>831</v>
      </c>
      <c r="N432" s="17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</row>
    <row r="433" spans="1:67" s="3" customFormat="1" ht="20" x14ac:dyDescent="0.2">
      <c r="A433" s="14" t="s">
        <v>2986</v>
      </c>
      <c r="B433" s="14" t="s">
        <v>18</v>
      </c>
      <c r="C433" s="14">
        <v>2025</v>
      </c>
      <c r="D433" s="14" t="str">
        <f t="array" ref="D433">_xlfn.SWITCH(E433,"Bagor","35.18.14","Sukomoro",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3" s="13" t="s">
        <v>50</v>
      </c>
      <c r="F433" s="25" t="s">
        <v>832</v>
      </c>
      <c r="G433" s="25" t="s">
        <v>833</v>
      </c>
      <c r="H433" s="13" t="s">
        <v>20</v>
      </c>
      <c r="I433" s="14" t="s">
        <v>166</v>
      </c>
      <c r="J433" s="15">
        <v>36000</v>
      </c>
      <c r="K433" s="13" t="s">
        <v>627</v>
      </c>
      <c r="L433" s="22">
        <f>J433*36000</f>
        <v>1296000000</v>
      </c>
      <c r="M433" s="36" t="s">
        <v>834</v>
      </c>
      <c r="N433" s="17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</row>
    <row r="434" spans="1:67" s="3" customFormat="1" x14ac:dyDescent="0.2">
      <c r="A434" s="14" t="s">
        <v>2986</v>
      </c>
      <c r="B434" s="14" t="s">
        <v>18</v>
      </c>
      <c r="C434" s="14">
        <v>2025</v>
      </c>
      <c r="D434" s="14" t="str">
        <f t="array" ref="D434">_xlfn.SWITCH(E434,"Bagor","35.18.14","Sukomoro",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4" s="13" t="s">
        <v>24</v>
      </c>
      <c r="F434" s="25" t="s">
        <v>835</v>
      </c>
      <c r="G434" s="25" t="s">
        <v>836</v>
      </c>
      <c r="H434" s="13" t="s">
        <v>20</v>
      </c>
      <c r="I434" s="14" t="s">
        <v>61</v>
      </c>
      <c r="J434" s="15">
        <v>100</v>
      </c>
      <c r="K434" s="13" t="s">
        <v>37</v>
      </c>
      <c r="L434" s="22">
        <f>14000000*J434</f>
        <v>1400000000</v>
      </c>
      <c r="M434" s="36" t="s">
        <v>837</v>
      </c>
      <c r="N434" s="17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</row>
    <row r="435" spans="1:67" s="3" customFormat="1" x14ac:dyDescent="0.2">
      <c r="A435" s="14" t="s">
        <v>2986</v>
      </c>
      <c r="B435" s="14" t="s">
        <v>18</v>
      </c>
      <c r="C435" s="14">
        <v>2025</v>
      </c>
      <c r="D435" s="14" t="str">
        <f t="array" ref="D435">_xlfn.SWITCH(E435,"Bagor","35.18.14","Sukomoro",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5" s="13" t="s">
        <v>50</v>
      </c>
      <c r="F435" s="25" t="s">
        <v>838</v>
      </c>
      <c r="G435" s="25" t="s">
        <v>839</v>
      </c>
      <c r="H435" s="13" t="s">
        <v>43</v>
      </c>
      <c r="I435" s="14" t="s">
        <v>840</v>
      </c>
      <c r="J435" s="15">
        <v>3000</v>
      </c>
      <c r="K435" s="13" t="s">
        <v>45</v>
      </c>
      <c r="L435" s="22">
        <f>975000*J435</f>
        <v>2925000000</v>
      </c>
      <c r="M435" s="36" t="s">
        <v>837</v>
      </c>
      <c r="N435" s="17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</row>
    <row r="436" spans="1:67" s="3" customFormat="1" x14ac:dyDescent="0.2">
      <c r="A436" s="14" t="s">
        <v>2986</v>
      </c>
      <c r="B436" s="14" t="s">
        <v>18</v>
      </c>
      <c r="C436" s="14">
        <v>2025</v>
      </c>
      <c r="D436" s="14" t="str">
        <f t="array" ref="D436">_xlfn.SWITCH(E436,"Bagor","35.18.14","Sukomoro",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36" s="13" t="s">
        <v>35</v>
      </c>
      <c r="F436" s="25" t="s">
        <v>841</v>
      </c>
      <c r="G436" s="25" t="s">
        <v>842</v>
      </c>
      <c r="H436" s="13" t="s">
        <v>20</v>
      </c>
      <c r="I436" s="14" t="s">
        <v>229</v>
      </c>
      <c r="J436" s="15">
        <v>1500</v>
      </c>
      <c r="K436" s="13" t="s">
        <v>87</v>
      </c>
      <c r="L436" s="22">
        <f>1200*1000000</f>
        <v>1200000000</v>
      </c>
      <c r="M436" s="37" t="s">
        <v>843</v>
      </c>
      <c r="N436" s="17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</row>
    <row r="437" spans="1:67" s="3" customFormat="1" x14ac:dyDescent="0.2">
      <c r="A437" s="14" t="s">
        <v>2986</v>
      </c>
      <c r="B437" s="14" t="s">
        <v>18</v>
      </c>
      <c r="C437" s="14">
        <v>2025</v>
      </c>
      <c r="D437" s="14" t="str">
        <f t="array" ref="D437">_xlfn.SWITCH(E437,"Bagor","35.18.14","Sukomoro",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7" s="13" t="s">
        <v>24</v>
      </c>
      <c r="F437" s="25" t="s">
        <v>844</v>
      </c>
      <c r="G437" s="25" t="s">
        <v>845</v>
      </c>
      <c r="H437" s="13" t="s">
        <v>9</v>
      </c>
      <c r="I437" s="14" t="s">
        <v>10</v>
      </c>
      <c r="J437" s="15">
        <v>3000000</v>
      </c>
      <c r="K437" s="13" t="s">
        <v>11</v>
      </c>
      <c r="L437" s="22">
        <f>400*J437</f>
        <v>1200000000</v>
      </c>
      <c r="M437" s="36" t="s">
        <v>846</v>
      </c>
      <c r="N437" s="17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</row>
    <row r="438" spans="1:67" s="3" customFormat="1" x14ac:dyDescent="0.2">
      <c r="A438" s="14" t="s">
        <v>2986</v>
      </c>
      <c r="B438" s="14" t="s">
        <v>18</v>
      </c>
      <c r="C438" s="14">
        <v>2025</v>
      </c>
      <c r="D438" s="14" t="str">
        <f t="array" ref="D438">_xlfn.SWITCH(E438,"Jatikalen","35.18.20","Kertosono", "35.18.08","Lengkong","35.18.19","Loceret","35.18.04","Tanjunganom","35.18.11","Wilangan","35.18.15")</f>
        <v>35.18.15</v>
      </c>
      <c r="E438" s="13" t="s">
        <v>848</v>
      </c>
      <c r="F438" s="25" t="s">
        <v>847</v>
      </c>
      <c r="G438" s="25" t="s">
        <v>849</v>
      </c>
      <c r="H438" s="13" t="s">
        <v>20</v>
      </c>
      <c r="I438" s="14" t="s">
        <v>61</v>
      </c>
      <c r="J438" s="15">
        <v>15</v>
      </c>
      <c r="K438" s="13" t="s">
        <v>37</v>
      </c>
      <c r="L438" s="22">
        <f>12750000*J438</f>
        <v>191250000</v>
      </c>
      <c r="M438" s="36" t="s">
        <v>850</v>
      </c>
      <c r="N438" s="17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</row>
    <row r="439" spans="1:67" s="3" customFormat="1" x14ac:dyDescent="0.2">
      <c r="A439" s="14" t="s">
        <v>2986</v>
      </c>
      <c r="B439" s="14" t="s">
        <v>18</v>
      </c>
      <c r="C439" s="14">
        <v>2025</v>
      </c>
      <c r="D439" s="14" t="str">
        <f t="array" ref="D439">_xlfn.SWITCH(E439,"Jatikalen","35.18.20","Kertosono", "35.18.08","Lengkong","35.18.19","Loceret","35.18.04","Tanjunganom","35.18.11","Wilangan","35.18.15")</f>
        <v>35.18.11</v>
      </c>
      <c r="E439" s="13" t="s">
        <v>27</v>
      </c>
      <c r="F439" s="25" t="s">
        <v>851</v>
      </c>
      <c r="G439" s="25" t="s">
        <v>852</v>
      </c>
      <c r="H439" s="13" t="s">
        <v>43</v>
      </c>
      <c r="I439" s="14" t="s">
        <v>840</v>
      </c>
      <c r="J439" s="15">
        <v>10000</v>
      </c>
      <c r="K439" s="13" t="s">
        <v>45</v>
      </c>
      <c r="L439" s="22">
        <f>1050000*J439</f>
        <v>10500000000</v>
      </c>
      <c r="M439" s="36" t="s">
        <v>392</v>
      </c>
      <c r="N439" s="17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</row>
    <row r="440" spans="1:67" s="3" customFormat="1" ht="20" x14ac:dyDescent="0.2">
      <c r="A440" s="14" t="s">
        <v>2986</v>
      </c>
      <c r="B440" s="14" t="s">
        <v>18</v>
      </c>
      <c r="C440" s="14">
        <v>2025</v>
      </c>
      <c r="D440" s="14" t="str">
        <f t="array" ref="D440">_xlfn.SWITCH(E440,"Bagor","35.18.14","Sukomoro",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0" s="13" t="s">
        <v>18</v>
      </c>
      <c r="F440" s="25" t="s">
        <v>853</v>
      </c>
      <c r="G440" s="25" t="s">
        <v>854</v>
      </c>
      <c r="H440" s="13" t="s">
        <v>20</v>
      </c>
      <c r="I440" s="14" t="s">
        <v>166</v>
      </c>
      <c r="J440" s="15">
        <v>150000</v>
      </c>
      <c r="K440" s="13" t="s">
        <v>627</v>
      </c>
      <c r="L440" s="22">
        <f>J440*36000</f>
        <v>5400000000</v>
      </c>
      <c r="M440" s="36" t="s">
        <v>392</v>
      </c>
      <c r="N440" s="17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</row>
    <row r="441" spans="1:67" s="3" customFormat="1" x14ac:dyDescent="0.2">
      <c r="A441" s="14" t="s">
        <v>2986</v>
      </c>
      <c r="B441" s="14" t="s">
        <v>18</v>
      </c>
      <c r="C441" s="14">
        <v>2025</v>
      </c>
      <c r="D441" s="14" t="str">
        <f t="array" ref="D441">_xlfn.SWITCH(E441,"Jatikalen","35.18.20","Kertosono", "35.18.08","Lengkong","35.18.19","Loceret","35.18.04","Tanjunganom","35.18.11","Wilangan","35.18.15")</f>
        <v>35.18.04</v>
      </c>
      <c r="E441" s="13" t="s">
        <v>15</v>
      </c>
      <c r="F441" s="25" t="s">
        <v>855</v>
      </c>
      <c r="G441" s="25" t="s">
        <v>856</v>
      </c>
      <c r="H441" s="13" t="s">
        <v>20</v>
      </c>
      <c r="I441" s="14" t="s">
        <v>166</v>
      </c>
      <c r="J441" s="15">
        <v>12000</v>
      </c>
      <c r="K441" s="13" t="s">
        <v>627</v>
      </c>
      <c r="L441" s="22">
        <f>J441*32000</f>
        <v>384000000</v>
      </c>
      <c r="M441" s="36" t="s">
        <v>857</v>
      </c>
      <c r="N441" s="17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</row>
    <row r="442" spans="1:67" s="3" customFormat="1" x14ac:dyDescent="0.2">
      <c r="A442" s="14" t="s">
        <v>2986</v>
      </c>
      <c r="B442" s="14" t="s">
        <v>18</v>
      </c>
      <c r="C442" s="14">
        <v>2025</v>
      </c>
      <c r="D442" s="14" t="str">
        <f t="array" ref="D442">_xlfn.SWITCH(E442,"Bagor","35.18.14","Sukomoro",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42" s="13" t="s">
        <v>57</v>
      </c>
      <c r="F442" s="25" t="s">
        <v>858</v>
      </c>
      <c r="G442" s="25" t="s">
        <v>859</v>
      </c>
      <c r="H442" s="13" t="s">
        <v>20</v>
      </c>
      <c r="I442" s="14" t="s">
        <v>164</v>
      </c>
      <c r="J442" s="15">
        <v>24</v>
      </c>
      <c r="K442" s="13" t="s">
        <v>37</v>
      </c>
      <c r="L442" s="22">
        <f>633000*J442</f>
        <v>15192000</v>
      </c>
      <c r="M442" s="36" t="s">
        <v>860</v>
      </c>
      <c r="N442" s="17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</row>
    <row r="443" spans="1:67" s="3" customFormat="1" x14ac:dyDescent="0.2">
      <c r="A443" s="14" t="s">
        <v>2986</v>
      </c>
      <c r="B443" s="14" t="s">
        <v>18</v>
      </c>
      <c r="C443" s="14">
        <v>2025</v>
      </c>
      <c r="D443" s="14" t="str">
        <f t="array" ref="D443">_xlfn.SWITCH(E443,"Bagor","35.18.14","Sukomoro",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3" s="13" t="s">
        <v>35</v>
      </c>
      <c r="F443" s="25" t="s">
        <v>861</v>
      </c>
      <c r="G443" s="25" t="s">
        <v>862</v>
      </c>
      <c r="H443" s="13" t="s">
        <v>20</v>
      </c>
      <c r="I443" s="14" t="s">
        <v>229</v>
      </c>
      <c r="J443" s="15">
        <v>1000</v>
      </c>
      <c r="K443" s="13" t="s">
        <v>87</v>
      </c>
      <c r="L443" s="22">
        <f>800*1000000</f>
        <v>800000000</v>
      </c>
      <c r="M443" s="36" t="s">
        <v>863</v>
      </c>
      <c r="N443" s="17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</row>
    <row r="444" spans="1:67" s="3" customFormat="1" x14ac:dyDescent="0.2">
      <c r="A444" s="14" t="s">
        <v>2986</v>
      </c>
      <c r="B444" s="14" t="s">
        <v>18</v>
      </c>
      <c r="C444" s="14">
        <v>2025</v>
      </c>
      <c r="D444" s="14" t="str">
        <f t="array" ref="D444">_xlfn.SWITCH(E444,"Jatikalen","35.18.20","Kertosono", "35.18.08","Lengkong","35.18.19","Loceret","35.18.04","Tanjunganom","35.18.11","Wilangan","35.18.15")</f>
        <v>35.18.11</v>
      </c>
      <c r="E444" s="13" t="s">
        <v>27</v>
      </c>
      <c r="F444" s="25" t="s">
        <v>864</v>
      </c>
      <c r="G444" s="25" t="s">
        <v>865</v>
      </c>
      <c r="H444" s="13" t="s">
        <v>20</v>
      </c>
      <c r="I444" s="14" t="s">
        <v>295</v>
      </c>
      <c r="J444" s="15">
        <v>100</v>
      </c>
      <c r="K444" s="13" t="s">
        <v>319</v>
      </c>
      <c r="L444" s="22">
        <v>85000000</v>
      </c>
      <c r="M444" s="23">
        <v>40057</v>
      </c>
      <c r="N444" s="17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</row>
    <row r="445" spans="1:67" s="3" customFormat="1" x14ac:dyDescent="0.2">
      <c r="A445" s="14" t="s">
        <v>2986</v>
      </c>
      <c r="B445" s="14" t="s">
        <v>18</v>
      </c>
      <c r="C445" s="14">
        <v>2025</v>
      </c>
      <c r="D445" s="14" t="str">
        <f t="array" ref="D445">_xlfn.SWITCH(E445,"Bagor","35.18.14","Sukomoro",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5" s="13" t="s">
        <v>35</v>
      </c>
      <c r="F445" s="25" t="s">
        <v>866</v>
      </c>
      <c r="G445" s="25" t="s">
        <v>867</v>
      </c>
      <c r="H445" s="13" t="s">
        <v>20</v>
      </c>
      <c r="I445" s="14" t="s">
        <v>229</v>
      </c>
      <c r="J445" s="15">
        <v>3600</v>
      </c>
      <c r="K445" s="13" t="s">
        <v>700</v>
      </c>
      <c r="L445" s="22">
        <f>3600*350000</f>
        <v>1260000000</v>
      </c>
      <c r="M445" s="23">
        <v>40058</v>
      </c>
      <c r="N445" s="17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</row>
    <row r="446" spans="1:67" s="3" customFormat="1" x14ac:dyDescent="0.2">
      <c r="A446" s="14" t="s">
        <v>2986</v>
      </c>
      <c r="B446" s="14" t="s">
        <v>18</v>
      </c>
      <c r="C446" s="14">
        <v>2025</v>
      </c>
      <c r="D446" s="14" t="str">
        <f t="array" ref="D446">_xlfn.SWITCH(E446,"Bagor","35.18.14","Sukomoro",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6" s="13" t="s">
        <v>50</v>
      </c>
      <c r="F446" s="25" t="s">
        <v>868</v>
      </c>
      <c r="G446" s="25" t="s">
        <v>869</v>
      </c>
      <c r="H446" s="13" t="s">
        <v>20</v>
      </c>
      <c r="I446" s="14" t="s">
        <v>166</v>
      </c>
      <c r="J446" s="15">
        <v>150000</v>
      </c>
      <c r="K446" s="13" t="s">
        <v>627</v>
      </c>
      <c r="L446" s="22">
        <f>J446*38000</f>
        <v>5700000000</v>
      </c>
      <c r="M446" s="23">
        <v>40060</v>
      </c>
      <c r="N446" s="17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</row>
    <row r="447" spans="1:67" s="3" customFormat="1" x14ac:dyDescent="0.2">
      <c r="A447" s="14" t="s">
        <v>2986</v>
      </c>
      <c r="B447" s="14" t="s">
        <v>18</v>
      </c>
      <c r="C447" s="14">
        <v>2025</v>
      </c>
      <c r="D447" s="14" t="str">
        <f t="array" ref="D447">_xlfn.SWITCH(E447,"Bagor","35.18.14","Sukomoro",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7" s="13" t="s">
        <v>50</v>
      </c>
      <c r="F447" s="25" t="s">
        <v>870</v>
      </c>
      <c r="G447" s="25" t="s">
        <v>871</v>
      </c>
      <c r="H447" s="13" t="s">
        <v>9</v>
      </c>
      <c r="I447" s="14" t="s">
        <v>795</v>
      </c>
      <c r="J447" s="15">
        <v>30000</v>
      </c>
      <c r="K447" s="13" t="s">
        <v>872</v>
      </c>
      <c r="L447" s="22">
        <f>J447*50000</f>
        <v>1500000000</v>
      </c>
      <c r="M447" s="23">
        <v>40060</v>
      </c>
      <c r="N447" s="17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</row>
    <row r="448" spans="1:67" s="3" customFormat="1" x14ac:dyDescent="0.2">
      <c r="A448" s="14" t="s">
        <v>2986</v>
      </c>
      <c r="B448" s="14" t="s">
        <v>18</v>
      </c>
      <c r="C448" s="14">
        <v>2025</v>
      </c>
      <c r="D448" s="14" t="str">
        <f t="array" ref="D448">_xlfn.SWITCH(E448,"Bagor","35.18.14","Sukomoro",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8" s="13" t="s">
        <v>50</v>
      </c>
      <c r="F448" s="25" t="s">
        <v>870</v>
      </c>
      <c r="G448" s="25" t="s">
        <v>873</v>
      </c>
      <c r="H448" s="13" t="s">
        <v>20</v>
      </c>
      <c r="I448" s="14" t="s">
        <v>36</v>
      </c>
      <c r="J448" s="15">
        <v>17</v>
      </c>
      <c r="K448" s="13" t="s">
        <v>37</v>
      </c>
      <c r="L448" s="22">
        <f>8000000*J448</f>
        <v>136000000</v>
      </c>
      <c r="M448" s="23">
        <v>40064</v>
      </c>
      <c r="N448" s="17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</row>
    <row r="449" spans="1:67" s="3" customFormat="1" x14ac:dyDescent="0.2">
      <c r="A449" s="14" t="s">
        <v>2986</v>
      </c>
      <c r="B449" s="14" t="s">
        <v>18</v>
      </c>
      <c r="C449" s="14">
        <v>2025</v>
      </c>
      <c r="D449" s="14" t="str">
        <f t="array" ref="D449">_xlfn.SWITCH(E449,"Bagor","35.18.14","Sukomoro",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9" s="13" t="s">
        <v>35</v>
      </c>
      <c r="F449" s="25" t="s">
        <v>874</v>
      </c>
      <c r="G449" s="25" t="s">
        <v>875</v>
      </c>
      <c r="H449" s="13" t="s">
        <v>20</v>
      </c>
      <c r="I449" s="14" t="s">
        <v>229</v>
      </c>
      <c r="J449" s="15">
        <v>3000</v>
      </c>
      <c r="K449" s="13" t="s">
        <v>700</v>
      </c>
      <c r="L449" s="22">
        <f>J449*350000</f>
        <v>1050000000</v>
      </c>
      <c r="M449" s="23">
        <v>40071</v>
      </c>
      <c r="N449" s="17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</row>
    <row r="450" spans="1:67" s="3" customFormat="1" x14ac:dyDescent="0.2">
      <c r="A450" s="14" t="s">
        <v>2986</v>
      </c>
      <c r="B450" s="14" t="s">
        <v>18</v>
      </c>
      <c r="C450" s="14">
        <v>2025</v>
      </c>
      <c r="D450" s="14" t="str">
        <f t="array" ref="D450">_xlfn.SWITCH(E450,"Jatikalen","35.18.20","Kertosono", "35.18.08","Lengkong","35.18.19","Loceret","35.18.04","Tanjunganom","35.18.11","Wilangan","35.18.15")</f>
        <v>35.18.04</v>
      </c>
      <c r="E450" s="13" t="s">
        <v>15</v>
      </c>
      <c r="F450" s="25" t="s">
        <v>876</v>
      </c>
      <c r="G450" s="25" t="s">
        <v>877</v>
      </c>
      <c r="H450" s="13" t="s">
        <v>20</v>
      </c>
      <c r="I450" s="14" t="s">
        <v>166</v>
      </c>
      <c r="J450" s="15">
        <v>6000</v>
      </c>
      <c r="K450" s="13" t="s">
        <v>627</v>
      </c>
      <c r="L450" s="22">
        <f>J450*30000</f>
        <v>180000000</v>
      </c>
      <c r="M450" s="23" t="s">
        <v>878</v>
      </c>
      <c r="N450" s="17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</row>
    <row r="451" spans="1:67" s="3" customFormat="1" x14ac:dyDescent="0.2">
      <c r="A451" s="14" t="s">
        <v>2986</v>
      </c>
      <c r="B451" s="14" t="s">
        <v>18</v>
      </c>
      <c r="C451" s="14">
        <v>2025</v>
      </c>
      <c r="D451" s="14" t="str">
        <f t="array" ref="D451">_xlfn.SWITCH(E451,"Bagor","35.18.14","Sukomoro",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1" s="13" t="s">
        <v>91</v>
      </c>
      <c r="F451" s="25" t="s">
        <v>879</v>
      </c>
      <c r="G451" s="25" t="s">
        <v>880</v>
      </c>
      <c r="H451" s="13" t="s">
        <v>20</v>
      </c>
      <c r="I451" s="14" t="s">
        <v>61</v>
      </c>
      <c r="J451" s="15">
        <v>48</v>
      </c>
      <c r="K451" s="13" t="s">
        <v>37</v>
      </c>
      <c r="L451" s="22">
        <f>17500000*J451</f>
        <v>840000000</v>
      </c>
      <c r="M451" s="23" t="s">
        <v>881</v>
      </c>
      <c r="N451" s="17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</row>
    <row r="452" spans="1:67" ht="20" x14ac:dyDescent="0.2">
      <c r="A452" s="14" t="s">
        <v>2986</v>
      </c>
      <c r="B452" s="14" t="s">
        <v>18</v>
      </c>
      <c r="C452" s="14">
        <v>2025</v>
      </c>
      <c r="D452" s="14" t="str">
        <f t="array" ref="D452">_xlfn.SWITCH(E452,"Bagor","35.18.14","Sukomoro",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2" s="13" t="s">
        <v>18</v>
      </c>
      <c r="F452" s="25" t="s">
        <v>882</v>
      </c>
      <c r="G452" s="25" t="s">
        <v>883</v>
      </c>
      <c r="H452" s="13" t="s">
        <v>20</v>
      </c>
      <c r="I452" s="14" t="s">
        <v>164</v>
      </c>
      <c r="J452" s="15">
        <v>750</v>
      </c>
      <c r="K452" s="13" t="s">
        <v>37</v>
      </c>
      <c r="L452" s="22">
        <f>725550*J452</f>
        <v>544162500</v>
      </c>
      <c r="M452" s="23" t="s">
        <v>884</v>
      </c>
      <c r="N452" s="17"/>
    </row>
    <row r="453" spans="1:67" x14ac:dyDescent="0.2">
      <c r="A453" s="14" t="s">
        <v>2986</v>
      </c>
      <c r="B453" s="14" t="s">
        <v>18</v>
      </c>
      <c r="C453" s="14">
        <v>2025</v>
      </c>
      <c r="D453" s="14" t="str">
        <f t="array" ref="D453">_xlfn.SWITCH(E453,"Jatikalen","35.18.20","Kertosono", "35.18.08","Lengkong","35.18.19","Loceret","35.18.04","Tanjunganom","35.18.11","Wilangan","35.18.15")</f>
        <v>35.18.04</v>
      </c>
      <c r="E453" s="13" t="s">
        <v>15</v>
      </c>
      <c r="F453" s="25" t="s">
        <v>885</v>
      </c>
      <c r="G453" s="25" t="s">
        <v>886</v>
      </c>
      <c r="H453" s="13" t="s">
        <v>43</v>
      </c>
      <c r="I453" s="14" t="s">
        <v>840</v>
      </c>
      <c r="J453" s="15">
        <v>3000</v>
      </c>
      <c r="K453" s="13" t="s">
        <v>45</v>
      </c>
      <c r="L453" s="22">
        <f>925500*J453</f>
        <v>2776500000</v>
      </c>
      <c r="M453" s="23" t="s">
        <v>887</v>
      </c>
      <c r="N453" s="17"/>
    </row>
    <row r="454" spans="1:67" ht="20" x14ac:dyDescent="0.2">
      <c r="A454" s="14" t="s">
        <v>2986</v>
      </c>
      <c r="B454" s="14" t="s">
        <v>18</v>
      </c>
      <c r="C454" s="14">
        <v>2025</v>
      </c>
      <c r="D454" s="14" t="str">
        <f t="array" ref="D454">_xlfn.SWITCH(E454,"Bagor","35.18.14","Sukomoro",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4" s="13" t="s">
        <v>18</v>
      </c>
      <c r="F454" s="25" t="s">
        <v>888</v>
      </c>
      <c r="G454" s="25" t="s">
        <v>889</v>
      </c>
      <c r="H454" s="13" t="s">
        <v>9</v>
      </c>
      <c r="I454" s="14" t="s">
        <v>890</v>
      </c>
      <c r="J454" s="15">
        <v>3</v>
      </c>
      <c r="K454" s="13" t="s">
        <v>45</v>
      </c>
      <c r="L454" s="22">
        <f>13000*3000</f>
        <v>39000000</v>
      </c>
      <c r="M454" s="23" t="s">
        <v>891</v>
      </c>
      <c r="N454" s="17"/>
    </row>
    <row r="455" spans="1:67" x14ac:dyDescent="0.2">
      <c r="A455" s="14" t="s">
        <v>2986</v>
      </c>
      <c r="B455" s="14" t="s">
        <v>18</v>
      </c>
      <c r="C455" s="14">
        <v>2025</v>
      </c>
      <c r="D455" s="14" t="str">
        <f t="array" ref="D455">_xlfn.SWITCH(E455,"Bagor","35.18.14","Sukomoro",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5" s="13" t="s">
        <v>57</v>
      </c>
      <c r="F455" s="25" t="s">
        <v>892</v>
      </c>
      <c r="G455" s="25" t="s">
        <v>893</v>
      </c>
      <c r="H455" s="13" t="s">
        <v>20</v>
      </c>
      <c r="I455" s="14" t="s">
        <v>795</v>
      </c>
      <c r="J455" s="15">
        <v>500</v>
      </c>
      <c r="K455" s="13" t="s">
        <v>135</v>
      </c>
      <c r="L455" s="22">
        <f>J455*75000</f>
        <v>37500000</v>
      </c>
      <c r="M455" s="23" t="s">
        <v>894</v>
      </c>
      <c r="N455" s="17"/>
    </row>
    <row r="456" spans="1:67" x14ac:dyDescent="0.2">
      <c r="A456" s="14" t="s">
        <v>2986</v>
      </c>
      <c r="B456" s="14" t="s">
        <v>18</v>
      </c>
      <c r="C456" s="14">
        <v>2025</v>
      </c>
      <c r="D456" s="14" t="str">
        <f t="array" ref="D456">_xlfn.SWITCH(E456,"Jatikalen","35.18.20","Kertosono", "35.18.08","Lengkong","35.18.19","Loceret","35.18.04","Tanjunganom","35.18.11","Wilangan","35.18.15")</f>
        <v>35.18.11</v>
      </c>
      <c r="E456" s="13" t="s">
        <v>27</v>
      </c>
      <c r="F456" s="25" t="s">
        <v>895</v>
      </c>
      <c r="G456" s="25" t="s">
        <v>896</v>
      </c>
      <c r="H456" s="13" t="s">
        <v>9</v>
      </c>
      <c r="I456" s="14" t="s">
        <v>897</v>
      </c>
      <c r="J456" s="15">
        <v>700</v>
      </c>
      <c r="K456" s="13" t="s">
        <v>22</v>
      </c>
      <c r="L456" s="22">
        <f>500000*J456</f>
        <v>350000000</v>
      </c>
      <c r="M456" s="23" t="s">
        <v>898</v>
      </c>
      <c r="N456" s="17"/>
    </row>
    <row r="457" spans="1:67" ht="20" x14ac:dyDescent="0.2">
      <c r="A457" s="14" t="s">
        <v>2986</v>
      </c>
      <c r="B457" s="14" t="s">
        <v>18</v>
      </c>
      <c r="C457" s="14">
        <v>2025</v>
      </c>
      <c r="D457" s="14" t="str">
        <f t="array" ref="D457">_xlfn.SWITCH(E457,"Bagor","35.18.14","Sukomoro",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7" s="13" t="s">
        <v>18</v>
      </c>
      <c r="F457" s="25" t="s">
        <v>899</v>
      </c>
      <c r="G457" s="25" t="s">
        <v>900</v>
      </c>
      <c r="H457" s="13" t="s">
        <v>20</v>
      </c>
      <c r="I457" s="14" t="s">
        <v>901</v>
      </c>
      <c r="J457" s="15">
        <v>80</v>
      </c>
      <c r="K457" s="13" t="s">
        <v>902</v>
      </c>
      <c r="L457" s="22">
        <f>5000000*J457</f>
        <v>400000000</v>
      </c>
      <c r="M457" s="23" t="s">
        <v>903</v>
      </c>
      <c r="N457" s="17"/>
    </row>
    <row r="458" spans="1:67" x14ac:dyDescent="0.2">
      <c r="A458" s="14" t="s">
        <v>2986</v>
      </c>
      <c r="B458" s="14" t="s">
        <v>18</v>
      </c>
      <c r="C458" s="14">
        <v>2025</v>
      </c>
      <c r="D458" s="14" t="str">
        <f t="array" ref="D458">_xlfn.SWITCH(E458,"Bagor","35.18.14","Sukomoro",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8" s="13" t="s">
        <v>91</v>
      </c>
      <c r="F458" s="25" t="s">
        <v>904</v>
      </c>
      <c r="G458" s="25" t="s">
        <v>905</v>
      </c>
      <c r="H458" s="13" t="s">
        <v>9</v>
      </c>
      <c r="I458" s="14" t="s">
        <v>121</v>
      </c>
      <c r="J458" s="15">
        <v>50</v>
      </c>
      <c r="K458" s="13" t="s">
        <v>700</v>
      </c>
      <c r="L458" s="22">
        <f>25000*J458</f>
        <v>1250000</v>
      </c>
      <c r="M458" s="23" t="s">
        <v>906</v>
      </c>
      <c r="N458" s="17"/>
    </row>
    <row r="459" spans="1:67" x14ac:dyDescent="0.2">
      <c r="A459" s="14" t="s">
        <v>2986</v>
      </c>
      <c r="B459" s="14" t="s">
        <v>18</v>
      </c>
      <c r="C459" s="14">
        <v>2025</v>
      </c>
      <c r="D459" s="14" t="str">
        <f t="array" ref="D459">_xlfn.SWITCH(E459,"Bagor","35.18.14","Sukomoro",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9" s="13" t="s">
        <v>57</v>
      </c>
      <c r="F459" s="25" t="s">
        <v>907</v>
      </c>
      <c r="G459" s="25" t="s">
        <v>908</v>
      </c>
      <c r="H459" s="13" t="s">
        <v>43</v>
      </c>
      <c r="I459" s="14" t="s">
        <v>736</v>
      </c>
      <c r="J459" s="15">
        <v>75000</v>
      </c>
      <c r="K459" s="13" t="s">
        <v>737</v>
      </c>
      <c r="L459" s="22">
        <f>9000*J459</f>
        <v>675000000</v>
      </c>
      <c r="M459" s="23" t="s">
        <v>906</v>
      </c>
      <c r="N459" s="17"/>
    </row>
    <row r="460" spans="1:67" x14ac:dyDescent="0.2">
      <c r="A460" s="14" t="s">
        <v>2986</v>
      </c>
      <c r="B460" s="14" t="s">
        <v>18</v>
      </c>
      <c r="C460" s="14">
        <v>2025</v>
      </c>
      <c r="D460" s="14" t="str">
        <f t="array" ref="D460">_xlfn.SWITCH(E460,"Bagor","35.18.14","Sukomoro",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60" s="13" t="s">
        <v>72</v>
      </c>
      <c r="F460" s="25" t="s">
        <v>909</v>
      </c>
      <c r="G460" s="25" t="s">
        <v>910</v>
      </c>
      <c r="H460" s="13" t="s">
        <v>43</v>
      </c>
      <c r="I460" s="14" t="s">
        <v>840</v>
      </c>
      <c r="J460" s="15">
        <v>3000</v>
      </c>
      <c r="K460" s="13" t="s">
        <v>45</v>
      </c>
      <c r="L460" s="22">
        <f>975325*J460</f>
        <v>2925975000</v>
      </c>
      <c r="M460" s="38" t="s">
        <v>911</v>
      </c>
      <c r="N460" s="17"/>
    </row>
    <row r="461" spans="1:67" ht="20" x14ac:dyDescent="0.2">
      <c r="A461" s="14" t="s">
        <v>2986</v>
      </c>
      <c r="B461" s="14" t="s">
        <v>18</v>
      </c>
      <c r="C461" s="14">
        <v>2025</v>
      </c>
      <c r="D461" s="14" t="str">
        <f t="array" ref="D461">_xlfn.SWITCH(E461,"Bagor","35.18.14","Sukomoro",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1" s="13" t="s">
        <v>18</v>
      </c>
      <c r="F461" s="25" t="s">
        <v>912</v>
      </c>
      <c r="G461" s="25" t="s">
        <v>913</v>
      </c>
      <c r="H461" s="13" t="s">
        <v>43</v>
      </c>
      <c r="I461" s="14" t="s">
        <v>840</v>
      </c>
      <c r="J461" s="15">
        <v>900</v>
      </c>
      <c r="K461" s="13" t="s">
        <v>45</v>
      </c>
      <c r="L461" s="22">
        <f>890875*J461</f>
        <v>801787500</v>
      </c>
      <c r="M461" s="38" t="s">
        <v>914</v>
      </c>
      <c r="N461" s="17"/>
    </row>
    <row r="462" spans="1:67" s="41" customFormat="1" ht="20" x14ac:dyDescent="0.35">
      <c r="A462" s="14" t="s">
        <v>2986</v>
      </c>
      <c r="B462" s="14" t="s">
        <v>18</v>
      </c>
      <c r="C462" s="14">
        <v>2025</v>
      </c>
      <c r="D462" s="14" t="str">
        <f t="array" ref="D462">_xlfn.SWITCH(E462,"Jatikalen","35.18.20","Kertosono", "35.18.08","Lengkong","35.18.19","Loceret","35.18.04","Tanjunganom","35.18.11","Wilangan","35.18.15")</f>
        <v>35.18.15</v>
      </c>
      <c r="E462" s="13" t="s">
        <v>848</v>
      </c>
      <c r="F462" s="25" t="s">
        <v>915</v>
      </c>
      <c r="G462" s="25" t="s">
        <v>916</v>
      </c>
      <c r="H462" s="13" t="s">
        <v>20</v>
      </c>
      <c r="I462" s="14" t="s">
        <v>917</v>
      </c>
      <c r="J462" s="15">
        <v>120</v>
      </c>
      <c r="K462" s="13" t="s">
        <v>53</v>
      </c>
      <c r="L462" s="15" t="s">
        <v>918</v>
      </c>
      <c r="M462" s="39" t="s">
        <v>919</v>
      </c>
      <c r="N462" s="29"/>
      <c r="O462" s="40"/>
    </row>
    <row r="463" spans="1:67" x14ac:dyDescent="0.2">
      <c r="A463" s="14" t="s">
        <v>2986</v>
      </c>
      <c r="B463" s="14" t="s">
        <v>18</v>
      </c>
      <c r="C463" s="14">
        <v>2025</v>
      </c>
      <c r="D463" s="14" t="str">
        <f t="array" ref="D463">_xlfn.SWITCH(E463,"Bagor","35.18.14","Sukomoro",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3" s="13" t="s">
        <v>18</v>
      </c>
      <c r="F463" s="42" t="s">
        <v>920</v>
      </c>
      <c r="G463" s="25" t="s">
        <v>921</v>
      </c>
      <c r="H463" s="13" t="s">
        <v>20</v>
      </c>
      <c r="I463" s="14" t="s">
        <v>36</v>
      </c>
      <c r="J463" s="15">
        <v>20</v>
      </c>
      <c r="K463" s="13" t="s">
        <v>37</v>
      </c>
      <c r="L463" s="22">
        <f>8000000*J463</f>
        <v>160000000</v>
      </c>
      <c r="M463" s="36" t="s">
        <v>922</v>
      </c>
      <c r="N463" s="17"/>
    </row>
    <row r="464" spans="1:67" x14ac:dyDescent="0.2">
      <c r="A464" s="14" t="s">
        <v>2986</v>
      </c>
      <c r="B464" s="14" t="s">
        <v>18</v>
      </c>
      <c r="C464" s="14">
        <v>2025</v>
      </c>
      <c r="D464" s="14" t="str">
        <f t="array" ref="D464">_xlfn.SWITCH(E464,"Jatikalen","35.18.20","Kertosono", "35.18.08","Lengkong","35.18.19","Loceret","35.18.04","Tanjunganom","35.18.11","Wilangan","35.18.15")</f>
        <v>35.18.15</v>
      </c>
      <c r="E464" s="13" t="s">
        <v>848</v>
      </c>
      <c r="F464" s="43" t="s">
        <v>923</v>
      </c>
      <c r="G464" s="25" t="s">
        <v>924</v>
      </c>
      <c r="H464" s="13" t="s">
        <v>20</v>
      </c>
      <c r="I464" s="14" t="s">
        <v>36</v>
      </c>
      <c r="J464" s="15">
        <v>70</v>
      </c>
      <c r="K464" s="13" t="s">
        <v>37</v>
      </c>
      <c r="L464" s="22">
        <f>18550000*J464</f>
        <v>1298500000</v>
      </c>
      <c r="M464" s="36" t="s">
        <v>925</v>
      </c>
      <c r="N464" s="17"/>
    </row>
    <row r="465" spans="1:17" x14ac:dyDescent="0.2">
      <c r="A465" s="14" t="s">
        <v>2986</v>
      </c>
      <c r="B465" s="14" t="s">
        <v>18</v>
      </c>
      <c r="C465" s="14">
        <v>2025</v>
      </c>
      <c r="D465" s="14" t="str">
        <f t="array" ref="D465">_xlfn.SWITCH(E465,"Jatikalen","35.18.20","Kertosono", "35.18.08","Lengkong","35.18.19","Loceret","35.18.04","Tanjunganom","35.18.11","Wilangan","35.18.15")</f>
        <v>35.18.15</v>
      </c>
      <c r="E465" s="13" t="s">
        <v>848</v>
      </c>
      <c r="F465" s="25" t="str">
        <f>F605</f>
        <v>Ds. Ngudikan</v>
      </c>
      <c r="G465" s="25" t="s">
        <v>926</v>
      </c>
      <c r="H465" s="13" t="s">
        <v>20</v>
      </c>
      <c r="I465" s="14" t="s">
        <v>36</v>
      </c>
      <c r="J465" s="15">
        <v>20</v>
      </c>
      <c r="K465" s="13" t="s">
        <v>37</v>
      </c>
      <c r="L465" s="22">
        <f>8250000*J465</f>
        <v>165000000</v>
      </c>
      <c r="M465" s="36" t="s">
        <v>925</v>
      </c>
      <c r="N465" s="17"/>
    </row>
    <row r="466" spans="1:17" x14ac:dyDescent="0.2">
      <c r="A466" s="14" t="s">
        <v>2986</v>
      </c>
      <c r="B466" s="14" t="s">
        <v>18</v>
      </c>
      <c r="C466" s="14">
        <v>2025</v>
      </c>
      <c r="D466" s="14" t="str">
        <f t="array" ref="D466">_xlfn.SWITCH(E466,"Jatikalen","35.18.20","Kertosono", "35.18.08","Lengkong","35.18.19","Loceret","35.18.04","Tanjunganom","35.18.11","Wilangan","35.18.15")</f>
        <v>35.18.15</v>
      </c>
      <c r="E466" s="13" t="s">
        <v>848</v>
      </c>
      <c r="F466" s="25" t="s">
        <v>927</v>
      </c>
      <c r="G466" s="25" t="s">
        <v>928</v>
      </c>
      <c r="H466" s="13" t="s">
        <v>20</v>
      </c>
      <c r="I466" s="14" t="s">
        <v>36</v>
      </c>
      <c r="J466" s="15">
        <v>45</v>
      </c>
      <c r="K466" s="13" t="s">
        <v>37</v>
      </c>
      <c r="L466" s="22">
        <f>19825000*J466</f>
        <v>892125000</v>
      </c>
      <c r="M466" s="36" t="s">
        <v>929</v>
      </c>
      <c r="N466" s="17"/>
    </row>
    <row r="467" spans="1:17" x14ac:dyDescent="0.2">
      <c r="A467" s="14" t="s">
        <v>2986</v>
      </c>
      <c r="B467" s="14" t="s">
        <v>18</v>
      </c>
      <c r="C467" s="14">
        <v>2025</v>
      </c>
      <c r="D467" s="14" t="str">
        <f t="array" ref="D467">_xlfn.SWITCH(E467,"Jatikalen","35.18.20","Kertosono", "35.18.08","Lengkong","35.18.19","Loceret","35.18.04","Tanjunganom","35.18.11","Wilangan","35.18.15")</f>
        <v>35.18.15</v>
      </c>
      <c r="E467" s="13" t="s">
        <v>848</v>
      </c>
      <c r="F467" s="25" t="s">
        <v>930</v>
      </c>
      <c r="G467" s="25" t="s">
        <v>931</v>
      </c>
      <c r="H467" s="13" t="s">
        <v>20</v>
      </c>
      <c r="I467" s="14" t="s">
        <v>61</v>
      </c>
      <c r="J467" s="15">
        <v>10</v>
      </c>
      <c r="K467" s="13" t="s">
        <v>37</v>
      </c>
      <c r="L467" s="22">
        <f>12500000*J467</f>
        <v>125000000</v>
      </c>
      <c r="M467" s="36" t="s">
        <v>932</v>
      </c>
      <c r="N467" s="17"/>
    </row>
    <row r="468" spans="1:17" x14ac:dyDescent="0.2">
      <c r="A468" s="14" t="s">
        <v>2986</v>
      </c>
      <c r="B468" s="14" t="s">
        <v>18</v>
      </c>
      <c r="C468" s="14">
        <v>2025</v>
      </c>
      <c r="D468" s="14" t="str">
        <f t="array" ref="D468">_xlfn.SWITCH(E468,"Jatikalen","35.18.20","Kertosono", "35.18.08","Lengkong","35.18.19","Loceret","35.18.04","Tanjunganom","35.18.11","Wilangan","35.18.15")</f>
        <v>35.18.15</v>
      </c>
      <c r="E468" s="13" t="s">
        <v>848</v>
      </c>
      <c r="F468" s="25" t="s">
        <v>933</v>
      </c>
      <c r="G468" s="25" t="s">
        <v>934</v>
      </c>
      <c r="H468" s="13" t="s">
        <v>20</v>
      </c>
      <c r="I468" s="14" t="s">
        <v>36</v>
      </c>
      <c r="J468" s="15">
        <v>35</v>
      </c>
      <c r="K468" s="13" t="s">
        <v>37</v>
      </c>
      <c r="L468" s="22">
        <f>12500000*J468</f>
        <v>437500000</v>
      </c>
      <c r="M468" s="36" t="s">
        <v>850</v>
      </c>
      <c r="N468" s="17"/>
    </row>
    <row r="469" spans="1:17" x14ac:dyDescent="0.2">
      <c r="A469" s="14" t="s">
        <v>2986</v>
      </c>
      <c r="B469" s="14" t="s">
        <v>18</v>
      </c>
      <c r="C469" s="14">
        <v>2025</v>
      </c>
      <c r="D469" s="14" t="str">
        <f t="array" ref="D469">_xlfn.SWITCH(E469,"Bagor","35.18.14","Sukomoro",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69" s="13" t="s">
        <v>98</v>
      </c>
      <c r="F469" s="14" t="s">
        <v>104</v>
      </c>
      <c r="G469" s="14" t="s">
        <v>935</v>
      </c>
      <c r="H469" s="13" t="s">
        <v>9</v>
      </c>
      <c r="I469" s="14" t="s">
        <v>10</v>
      </c>
      <c r="J469" s="30">
        <v>8500000</v>
      </c>
      <c r="K469" s="13" t="s">
        <v>11</v>
      </c>
      <c r="L469" s="22">
        <f>400*J469</f>
        <v>3400000000</v>
      </c>
      <c r="M469" s="36" t="s">
        <v>936</v>
      </c>
      <c r="N469" s="17"/>
      <c r="Q469" s="1"/>
    </row>
    <row r="470" spans="1:17" x14ac:dyDescent="0.2">
      <c r="A470" s="14" t="s">
        <v>2986</v>
      </c>
      <c r="B470" s="14" t="s">
        <v>18</v>
      </c>
      <c r="C470" s="14">
        <v>2025</v>
      </c>
      <c r="D470" s="14" t="str">
        <f t="array" ref="D470">_xlfn.SWITCH(E470,"Bagor","35.18.14","Sukomoro",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70" s="13" t="s">
        <v>98</v>
      </c>
      <c r="F470" s="14" t="s">
        <v>937</v>
      </c>
      <c r="G470" s="14" t="s">
        <v>938</v>
      </c>
      <c r="H470" s="13" t="s">
        <v>9</v>
      </c>
      <c r="I470" s="14" t="s">
        <v>10</v>
      </c>
      <c r="J470" s="30">
        <v>7000000</v>
      </c>
      <c r="K470" s="13" t="s">
        <v>11</v>
      </c>
      <c r="L470" s="22">
        <f>400*J470</f>
        <v>2800000000</v>
      </c>
      <c r="M470" s="36" t="s">
        <v>936</v>
      </c>
      <c r="N470" s="17"/>
      <c r="Q470" s="1"/>
    </row>
    <row r="471" spans="1:17" x14ac:dyDescent="0.2">
      <c r="A471" s="14" t="s">
        <v>2986</v>
      </c>
      <c r="B471" s="14" t="s">
        <v>18</v>
      </c>
      <c r="C471" s="14">
        <v>2025</v>
      </c>
      <c r="D471" s="14" t="str">
        <f t="array" ref="D471">_xlfn.SWITCH(E471,"Jatikalen","35.18.20","Kertosono", "35.18.08","Lengkong","35.18.19","Loceret","35.18.04","Tanjunganom","35.18.11","Wilangan","35.18.15")</f>
        <v>35.18.04</v>
      </c>
      <c r="E471" s="13" t="s">
        <v>15</v>
      </c>
      <c r="F471" s="25" t="s">
        <v>939</v>
      </c>
      <c r="G471" s="25" t="s">
        <v>940</v>
      </c>
      <c r="H471" s="13" t="s">
        <v>20</v>
      </c>
      <c r="I471" s="14" t="s">
        <v>166</v>
      </c>
      <c r="J471" s="15">
        <v>48000</v>
      </c>
      <c r="K471" s="13" t="s">
        <v>627</v>
      </c>
      <c r="L471" s="22">
        <f>36000*J471</f>
        <v>1728000000</v>
      </c>
      <c r="M471" s="36" t="s">
        <v>941</v>
      </c>
      <c r="N471" s="17"/>
    </row>
    <row r="472" spans="1:17" x14ac:dyDescent="0.2">
      <c r="A472" s="14" t="s">
        <v>2986</v>
      </c>
      <c r="B472" s="14" t="s">
        <v>18</v>
      </c>
      <c r="C472" s="14">
        <v>2025</v>
      </c>
      <c r="D472" s="14" t="str">
        <f t="array" ref="D472">_xlfn.SWITCH(E472,"Jatikalen","35.18.20","Kertosono", "35.18.08","Lengkong","35.18.19","Loceret","35.18.04","Tanjunganom","35.18.11","Wilangan","35.18.15")</f>
        <v>35.18.08</v>
      </c>
      <c r="E472" s="13" t="s">
        <v>75</v>
      </c>
      <c r="F472" s="25" t="s">
        <v>942</v>
      </c>
      <c r="G472" s="25" t="s">
        <v>943</v>
      </c>
      <c r="H472" s="13" t="s">
        <v>9</v>
      </c>
      <c r="I472" s="14" t="s">
        <v>944</v>
      </c>
      <c r="J472" s="15">
        <v>1500</v>
      </c>
      <c r="K472" s="13" t="s">
        <v>778</v>
      </c>
      <c r="L472" s="22">
        <f>J472*10500000</f>
        <v>15750000000</v>
      </c>
      <c r="M472" s="19" t="s">
        <v>945</v>
      </c>
      <c r="N472" s="17"/>
    </row>
    <row r="473" spans="1:17" ht="20" x14ac:dyDescent="0.2">
      <c r="A473" s="14" t="s">
        <v>2986</v>
      </c>
      <c r="B473" s="14" t="s">
        <v>18</v>
      </c>
      <c r="C473" s="14">
        <v>2025</v>
      </c>
      <c r="D473" s="14" t="str">
        <f t="array" ref="D473">_xlfn.SWITCH(E473,"Bagor","35.18.14","Sukomoro",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73" s="13" t="s">
        <v>57</v>
      </c>
      <c r="F473" s="25" t="s">
        <v>457</v>
      </c>
      <c r="G473" s="25" t="s">
        <v>946</v>
      </c>
      <c r="H473" s="13" t="s">
        <v>20</v>
      </c>
      <c r="I473" s="14" t="s">
        <v>485</v>
      </c>
      <c r="J473" s="15">
        <v>30</v>
      </c>
      <c r="K473" s="13" t="s">
        <v>45</v>
      </c>
      <c r="L473" s="22">
        <f>30000*25000</f>
        <v>750000000</v>
      </c>
      <c r="M473" s="19" t="s">
        <v>947</v>
      </c>
      <c r="N473" s="17"/>
    </row>
    <row r="474" spans="1:17" ht="20" x14ac:dyDescent="0.2">
      <c r="A474" s="14" t="s">
        <v>2986</v>
      </c>
      <c r="B474" s="14" t="s">
        <v>18</v>
      </c>
      <c r="C474" s="14">
        <v>2025</v>
      </c>
      <c r="D474" s="14" t="str">
        <f t="array" ref="D474">_xlfn.SWITCH(E474,"Bagor","35.18.14","Sukomoro",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74" s="13" t="s">
        <v>35</v>
      </c>
      <c r="F474" s="25" t="s">
        <v>948</v>
      </c>
      <c r="G474" s="25" t="s">
        <v>949</v>
      </c>
      <c r="H474" s="13" t="s">
        <v>20</v>
      </c>
      <c r="I474" s="14" t="s">
        <v>21</v>
      </c>
      <c r="J474" s="15">
        <v>40</v>
      </c>
      <c r="K474" s="13" t="s">
        <v>37</v>
      </c>
      <c r="L474" s="22">
        <f>J474*10500000</f>
        <v>420000000</v>
      </c>
      <c r="M474" s="19" t="s">
        <v>242</v>
      </c>
      <c r="N474" s="17"/>
    </row>
    <row r="475" spans="1:17" x14ac:dyDescent="0.2">
      <c r="A475" s="14" t="s">
        <v>2986</v>
      </c>
      <c r="B475" s="14" t="s">
        <v>18</v>
      </c>
      <c r="C475" s="14">
        <v>2025</v>
      </c>
      <c r="D475" s="14" t="str">
        <f t="array" ref="D475">_xlfn.SWITCH(E475,"Jatikalen","35.18.20","Kertosono", "35.18.08","Lengkong","35.18.19","Loceret","35.18.04","Tanjunganom","35.18.11","Wilangan","35.18.15")</f>
        <v>35.18.04</v>
      </c>
      <c r="E475" s="13" t="s">
        <v>15</v>
      </c>
      <c r="F475" s="25" t="s">
        <v>950</v>
      </c>
      <c r="G475" s="25" t="s">
        <v>951</v>
      </c>
      <c r="H475" s="13" t="s">
        <v>20</v>
      </c>
      <c r="I475" s="14" t="s">
        <v>952</v>
      </c>
      <c r="J475" s="15">
        <v>750000</v>
      </c>
      <c r="K475" s="13" t="s">
        <v>953</v>
      </c>
      <c r="L475" s="22">
        <f>J475*10000</f>
        <v>7500000000</v>
      </c>
      <c r="M475" s="19" t="s">
        <v>67</v>
      </c>
      <c r="N475" s="17"/>
    </row>
    <row r="476" spans="1:17" ht="20" x14ac:dyDescent="0.2">
      <c r="A476" s="14" t="s">
        <v>2986</v>
      </c>
      <c r="B476" s="14" t="s">
        <v>18</v>
      </c>
      <c r="C476" s="14">
        <v>2025</v>
      </c>
      <c r="D476" s="14" t="str">
        <f t="array" ref="D476">_xlfn.SWITCH(E476,"Bagor","35.18.14","Sukomoro",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6" s="13" t="s">
        <v>18</v>
      </c>
      <c r="F476" s="25" t="s">
        <v>954</v>
      </c>
      <c r="G476" s="25" t="s">
        <v>955</v>
      </c>
      <c r="H476" s="13" t="s">
        <v>43</v>
      </c>
      <c r="I476" s="14" t="s">
        <v>956</v>
      </c>
      <c r="J476" s="15">
        <v>120000</v>
      </c>
      <c r="K476" s="13" t="s">
        <v>87</v>
      </c>
      <c r="L476" s="22">
        <f>J476*20000</f>
        <v>2400000000</v>
      </c>
      <c r="M476" s="19" t="s">
        <v>957</v>
      </c>
      <c r="N476" s="17"/>
    </row>
    <row r="477" spans="1:17" x14ac:dyDescent="0.2">
      <c r="A477" s="14" t="s">
        <v>2986</v>
      </c>
      <c r="B477" s="14" t="s">
        <v>18</v>
      </c>
      <c r="C477" s="14">
        <v>2025</v>
      </c>
      <c r="D477" s="14" t="str">
        <f t="array" ref="D477">_xlfn.SWITCH(E477,"Bagor","35.18.14","Sukomoro",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77" s="13" t="s">
        <v>102</v>
      </c>
      <c r="F477" s="25" t="s">
        <v>958</v>
      </c>
      <c r="G477" s="25" t="s">
        <v>959</v>
      </c>
      <c r="H477" s="13" t="s">
        <v>20</v>
      </c>
      <c r="I477" s="14" t="s">
        <v>960</v>
      </c>
      <c r="J477" s="15">
        <v>3750</v>
      </c>
      <c r="K477" s="13" t="s">
        <v>700</v>
      </c>
      <c r="L477" s="22">
        <v>150000000</v>
      </c>
      <c r="M477" s="19" t="s">
        <v>961</v>
      </c>
      <c r="N477" s="17"/>
    </row>
    <row r="478" spans="1:17" ht="20" x14ac:dyDescent="0.2">
      <c r="A478" s="14" t="s">
        <v>2986</v>
      </c>
      <c r="B478" s="14" t="s">
        <v>18</v>
      </c>
      <c r="C478" s="14">
        <v>2025</v>
      </c>
      <c r="D478" s="14" t="str">
        <f t="array" ref="D478">_xlfn.SWITCH(E478,"Bagor","35.18.14","Sukomoro",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8" s="13" t="s">
        <v>18</v>
      </c>
      <c r="F478" s="25" t="s">
        <v>962</v>
      </c>
      <c r="G478" s="25" t="s">
        <v>963</v>
      </c>
      <c r="H478" s="13" t="s">
        <v>20</v>
      </c>
      <c r="I478" s="14" t="s">
        <v>21</v>
      </c>
      <c r="J478" s="15">
        <v>30</v>
      </c>
      <c r="K478" s="13" t="s">
        <v>37</v>
      </c>
      <c r="L478" s="22">
        <f>J478*10250000</f>
        <v>307500000</v>
      </c>
      <c r="M478" s="19" t="s">
        <v>964</v>
      </c>
      <c r="N478" s="17"/>
    </row>
    <row r="479" spans="1:17" x14ac:dyDescent="0.2">
      <c r="A479" s="14" t="s">
        <v>2986</v>
      </c>
      <c r="B479" s="14" t="s">
        <v>18</v>
      </c>
      <c r="C479" s="14">
        <v>2025</v>
      </c>
      <c r="D479" s="14" t="str">
        <f t="array" ref="D479">_xlfn.SWITCH(E479,"Jatikalen","35.18.20","Kertosono", "35.18.08","Lengkong","35.18.19","Loceret","35.18.04","Tanjunganom","35.18.11","Wilangan","35.18.15")</f>
        <v>35.18.19</v>
      </c>
      <c r="E479" s="13" t="s">
        <v>30</v>
      </c>
      <c r="F479" s="25" t="s">
        <v>965</v>
      </c>
      <c r="G479" s="25" t="s">
        <v>966</v>
      </c>
      <c r="H479" s="13" t="s">
        <v>20</v>
      </c>
      <c r="I479" s="14" t="s">
        <v>61</v>
      </c>
      <c r="J479" s="15">
        <v>21</v>
      </c>
      <c r="K479" s="13" t="s">
        <v>37</v>
      </c>
      <c r="L479" s="22">
        <f>J479*10300000</f>
        <v>216300000</v>
      </c>
      <c r="M479" s="19" t="s">
        <v>967</v>
      </c>
      <c r="N479" s="17"/>
    </row>
    <row r="480" spans="1:17" ht="20" x14ac:dyDescent="0.2">
      <c r="A480" s="14" t="s">
        <v>2986</v>
      </c>
      <c r="B480" s="14" t="s">
        <v>18</v>
      </c>
      <c r="C480" s="14">
        <v>2025</v>
      </c>
      <c r="D480" s="14" t="str">
        <f t="array" ref="D480">_xlfn.SWITCH(E480,"Bagor","35.18.14","Sukomoro",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80" s="13" t="s">
        <v>18</v>
      </c>
      <c r="F480" s="25" t="s">
        <v>968</v>
      </c>
      <c r="G480" s="25" t="s">
        <v>969</v>
      </c>
      <c r="H480" s="13" t="s">
        <v>43</v>
      </c>
      <c r="I480" s="14" t="s">
        <v>970</v>
      </c>
      <c r="J480" s="15" t="s">
        <v>971</v>
      </c>
      <c r="K480" s="13" t="s">
        <v>953</v>
      </c>
      <c r="L480" s="22">
        <v>235450000</v>
      </c>
      <c r="M480" s="19" t="s">
        <v>972</v>
      </c>
      <c r="N480" s="17"/>
    </row>
    <row r="481" spans="1:67" ht="20" x14ac:dyDescent="0.2">
      <c r="A481" s="14" t="s">
        <v>2986</v>
      </c>
      <c r="B481" s="14" t="s">
        <v>18</v>
      </c>
      <c r="C481" s="14">
        <v>2025</v>
      </c>
      <c r="D481" s="14" t="str">
        <f t="array" ref="D481">_xlfn.SWITCH(E481,"Bagor","35.18.14","Sukomoro",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1" s="13" t="s">
        <v>91</v>
      </c>
      <c r="F481" s="25" t="s">
        <v>973</v>
      </c>
      <c r="G481" s="25" t="s">
        <v>974</v>
      </c>
      <c r="H481" s="13" t="s">
        <v>20</v>
      </c>
      <c r="I481" s="14" t="s">
        <v>61</v>
      </c>
      <c r="J481" s="15">
        <v>30</v>
      </c>
      <c r="K481" s="13" t="s">
        <v>37</v>
      </c>
      <c r="L481" s="22">
        <f>J481*10270000</f>
        <v>308100000</v>
      </c>
      <c r="M481" s="19" t="s">
        <v>975</v>
      </c>
      <c r="N481" s="17"/>
    </row>
    <row r="482" spans="1:67" ht="20" x14ac:dyDescent="0.2">
      <c r="A482" s="14" t="s">
        <v>2986</v>
      </c>
      <c r="B482" s="14" t="s">
        <v>18</v>
      </c>
      <c r="C482" s="14">
        <v>2025</v>
      </c>
      <c r="D482" s="14" t="str">
        <f t="array" ref="D482">_xlfn.SWITCH(E482,"Bagor","35.18.14","Sukomoro",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2" s="13" t="s">
        <v>91</v>
      </c>
      <c r="F482" s="25" t="s">
        <v>976</v>
      </c>
      <c r="G482" s="25" t="s">
        <v>977</v>
      </c>
      <c r="H482" s="13" t="s">
        <v>9</v>
      </c>
      <c r="I482" s="14" t="s">
        <v>61</v>
      </c>
      <c r="J482" s="15">
        <v>20</v>
      </c>
      <c r="K482" s="13" t="s">
        <v>37</v>
      </c>
      <c r="L482" s="22">
        <f>J482*10000000</f>
        <v>200000000</v>
      </c>
      <c r="M482" s="19" t="s">
        <v>978</v>
      </c>
      <c r="N482" s="17"/>
    </row>
    <row r="483" spans="1:67" x14ac:dyDescent="0.2">
      <c r="A483" s="14" t="s">
        <v>2986</v>
      </c>
      <c r="B483" s="14" t="s">
        <v>18</v>
      </c>
      <c r="C483" s="14">
        <v>2025</v>
      </c>
      <c r="D483" s="14" t="str">
        <f t="array" ref="D483">_xlfn.SWITCH(E483,"Bagor","35.18.14","Sukomoro",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3" s="13" t="s">
        <v>91</v>
      </c>
      <c r="F483" s="25" t="s">
        <v>979</v>
      </c>
      <c r="G483" s="25" t="s">
        <v>980</v>
      </c>
      <c r="H483" s="13" t="s">
        <v>20</v>
      </c>
      <c r="I483" s="14" t="s">
        <v>61</v>
      </c>
      <c r="J483" s="15">
        <v>20</v>
      </c>
      <c r="K483" s="13" t="s">
        <v>37</v>
      </c>
      <c r="L483" s="22">
        <f>J483*10150000</f>
        <v>203000000</v>
      </c>
      <c r="M483" s="19" t="s">
        <v>978</v>
      </c>
      <c r="N483" s="17"/>
    </row>
    <row r="484" spans="1:67" s="3" customFormat="1" x14ac:dyDescent="0.2">
      <c r="A484" s="14" t="s">
        <v>2986</v>
      </c>
      <c r="B484" s="14" t="s">
        <v>18</v>
      </c>
      <c r="C484" s="14">
        <v>2025</v>
      </c>
      <c r="D484" s="14" t="str">
        <f t="array" ref="D484">_xlfn.SWITCH(E484,"Bagor","35.18.14","Sukomoro",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84" s="13" t="s">
        <v>98</v>
      </c>
      <c r="F484" s="25" t="s">
        <v>981</v>
      </c>
      <c r="G484" s="25" t="s">
        <v>982</v>
      </c>
      <c r="H484" s="13" t="s">
        <v>9</v>
      </c>
      <c r="I484" s="14" t="s">
        <v>61</v>
      </c>
      <c r="J484" s="15">
        <v>20</v>
      </c>
      <c r="K484" s="13" t="s">
        <v>37</v>
      </c>
      <c r="L484" s="22">
        <f>J484*10000000</f>
        <v>200000000</v>
      </c>
      <c r="M484" s="19" t="s">
        <v>978</v>
      </c>
      <c r="N484" s="17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</row>
    <row r="485" spans="1:67" s="3" customFormat="1" ht="30" x14ac:dyDescent="0.2">
      <c r="A485" s="14" t="s">
        <v>2986</v>
      </c>
      <c r="B485" s="14" t="s">
        <v>18</v>
      </c>
      <c r="C485" s="14">
        <v>2025</v>
      </c>
      <c r="D485" s="14" t="str">
        <f t="array" ref="D485">_xlfn.SWITCH(E485,"Bagor","35.18.14","Sukomoro",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85" s="13" t="s">
        <v>35</v>
      </c>
      <c r="F485" s="25" t="s">
        <v>983</v>
      </c>
      <c r="G485" s="25" t="s">
        <v>984</v>
      </c>
      <c r="H485" s="13" t="s">
        <v>43</v>
      </c>
      <c r="I485" s="14" t="s">
        <v>229</v>
      </c>
      <c r="J485" s="15">
        <v>1080</v>
      </c>
      <c r="K485" s="13" t="s">
        <v>700</v>
      </c>
      <c r="L485" s="22">
        <f>J485*300000</f>
        <v>324000000</v>
      </c>
      <c r="M485" s="19" t="s">
        <v>985</v>
      </c>
      <c r="N485" s="17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</row>
    <row r="486" spans="1:67" s="3" customFormat="1" x14ac:dyDescent="0.2">
      <c r="A486" s="14" t="s">
        <v>2986</v>
      </c>
      <c r="B486" s="14" t="s">
        <v>18</v>
      </c>
      <c r="C486" s="14">
        <v>2025</v>
      </c>
      <c r="D486" s="14" t="str">
        <f t="array" ref="D486">_xlfn.SWITCH(E486,"Jatikalen","35.18.20","Kertosono", "35.18.08","Lengkong","35.18.19","Loceret","35.18.04","Tanjunganom","35.18.11","Wilangan","35.18.15")</f>
        <v>35.18.15</v>
      </c>
      <c r="E486" s="13" t="s">
        <v>848</v>
      </c>
      <c r="F486" s="25" t="s">
        <v>986</v>
      </c>
      <c r="G486" s="25" t="s">
        <v>987</v>
      </c>
      <c r="H486" s="13" t="s">
        <v>20</v>
      </c>
      <c r="I486" s="14" t="s">
        <v>61</v>
      </c>
      <c r="J486" s="15">
        <v>30</v>
      </c>
      <c r="K486" s="13" t="s">
        <v>37</v>
      </c>
      <c r="L486" s="22">
        <f>J486*10800000</f>
        <v>324000000</v>
      </c>
      <c r="M486" s="19" t="s">
        <v>988</v>
      </c>
      <c r="N486" s="17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</row>
    <row r="487" spans="1:67" s="3" customFormat="1" x14ac:dyDescent="0.2">
      <c r="A487" s="14" t="s">
        <v>2986</v>
      </c>
      <c r="B487" s="14" t="s">
        <v>18</v>
      </c>
      <c r="C487" s="14">
        <v>2025</v>
      </c>
      <c r="D487" s="14" t="str">
        <f t="array" ref="D487">_xlfn.SWITCH(E487,"Bagor","35.18.14","Sukomoro",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7" s="13" t="s">
        <v>91</v>
      </c>
      <c r="F487" s="25" t="s">
        <v>989</v>
      </c>
      <c r="G487" s="25" t="s">
        <v>990</v>
      </c>
      <c r="H487" s="13" t="s">
        <v>20</v>
      </c>
      <c r="I487" s="14" t="s">
        <v>61</v>
      </c>
      <c r="J487" s="15">
        <v>30</v>
      </c>
      <c r="K487" s="13" t="s">
        <v>37</v>
      </c>
      <c r="L487" s="22">
        <f>J487*10850000</f>
        <v>325500000</v>
      </c>
      <c r="M487" s="19" t="s">
        <v>988</v>
      </c>
      <c r="N487" s="17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</row>
    <row r="488" spans="1:67" s="3" customFormat="1" ht="20" x14ac:dyDescent="0.2">
      <c r="A488" s="14" t="s">
        <v>2986</v>
      </c>
      <c r="B488" s="14" t="s">
        <v>18</v>
      </c>
      <c r="C488" s="14">
        <v>2025</v>
      </c>
      <c r="D488" s="14" t="str">
        <f t="array" ref="D488">_xlfn.SWITCH(E488,"Jatikalen","35.18.20","Kertosono", "35.18.08","Lengkong","35.18.19","Loceret","35.18.04","Tanjunganom","35.18.11","Wilangan","35.18.15")</f>
        <v>35.18.04</v>
      </c>
      <c r="E488" s="13" t="s">
        <v>15</v>
      </c>
      <c r="F488" s="25" t="s">
        <v>991</v>
      </c>
      <c r="G488" s="25" t="s">
        <v>992</v>
      </c>
      <c r="H488" s="13" t="s">
        <v>9</v>
      </c>
      <c r="I488" s="14" t="s">
        <v>993</v>
      </c>
      <c r="J488" s="15">
        <v>3000</v>
      </c>
      <c r="K488" s="13" t="s">
        <v>994</v>
      </c>
      <c r="L488" s="22">
        <f>J488*200000</f>
        <v>600000000</v>
      </c>
      <c r="M488" s="19" t="s">
        <v>995</v>
      </c>
      <c r="N488" s="17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</row>
    <row r="489" spans="1:67" s="3" customFormat="1" x14ac:dyDescent="0.2">
      <c r="A489" s="14" t="s">
        <v>2986</v>
      </c>
      <c r="B489" s="14" t="s">
        <v>18</v>
      </c>
      <c r="C489" s="14">
        <v>2025</v>
      </c>
      <c r="D489" s="14" t="str">
        <f t="array" ref="D489">_xlfn.SWITCH(E489,"Bagor","35.18.14","Sukomoro",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89" s="13" t="s">
        <v>102</v>
      </c>
      <c r="F489" s="25" t="s">
        <v>622</v>
      </c>
      <c r="G489" s="25" t="s">
        <v>996</v>
      </c>
      <c r="H489" s="13" t="s">
        <v>9</v>
      </c>
      <c r="I489" s="14" t="s">
        <v>61</v>
      </c>
      <c r="J489" s="15">
        <v>20</v>
      </c>
      <c r="K489" s="13" t="s">
        <v>34</v>
      </c>
      <c r="L489" s="22">
        <f>J489*19500000</f>
        <v>390000000</v>
      </c>
      <c r="M489" s="20" t="s">
        <v>997</v>
      </c>
      <c r="N489" s="17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</row>
    <row r="490" spans="1:67" s="3" customFormat="1" x14ac:dyDescent="0.2">
      <c r="A490" s="14" t="s">
        <v>2986</v>
      </c>
      <c r="B490" s="14" t="s">
        <v>18</v>
      </c>
      <c r="C490" s="14">
        <v>2025</v>
      </c>
      <c r="D490" s="14" t="str">
        <f t="array" ref="D490">_xlfn.SWITCH(E490,"Jatikalen","35.18.20","Kertosono", "35.18.08","Lengkong","35.18.19","Loceret","35.18.04","Tanjunganom","35.18.11","Wilangan","35.18.15")</f>
        <v>35.18.04</v>
      </c>
      <c r="E490" s="13" t="s">
        <v>15</v>
      </c>
      <c r="F490" s="25" t="s">
        <v>998</v>
      </c>
      <c r="G490" s="25" t="s">
        <v>999</v>
      </c>
      <c r="H490" s="13" t="s">
        <v>20</v>
      </c>
      <c r="I490" s="14" t="s">
        <v>61</v>
      </c>
      <c r="J490" s="15">
        <v>24</v>
      </c>
      <c r="K490" s="13" t="s">
        <v>37</v>
      </c>
      <c r="L490" s="22">
        <f>J490*19500000</f>
        <v>468000000</v>
      </c>
      <c r="M490" s="19" t="s">
        <v>1000</v>
      </c>
      <c r="N490" s="17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</row>
    <row r="491" spans="1:67" s="3" customFormat="1" x14ac:dyDescent="0.2">
      <c r="A491" s="14" t="s">
        <v>2986</v>
      </c>
      <c r="B491" s="14" t="s">
        <v>18</v>
      </c>
      <c r="C491" s="14">
        <v>2025</v>
      </c>
      <c r="D491" s="14" t="str">
        <f t="array" ref="D491">_xlfn.SWITCH(E491,"Bagor","35.18.14","Sukomoro",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1" s="13" t="s">
        <v>91</v>
      </c>
      <c r="F491" s="25" t="s">
        <v>761</v>
      </c>
      <c r="G491" s="25" t="s">
        <v>1001</v>
      </c>
      <c r="H491" s="13" t="s">
        <v>20</v>
      </c>
      <c r="I491" s="14" t="s">
        <v>61</v>
      </c>
      <c r="J491" s="15">
        <v>40</v>
      </c>
      <c r="K491" s="13" t="s">
        <v>37</v>
      </c>
      <c r="L491" s="22">
        <f>J491*19300000</f>
        <v>772000000</v>
      </c>
      <c r="M491" s="19" t="s">
        <v>1000</v>
      </c>
      <c r="N491" s="17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</row>
    <row r="492" spans="1:67" s="3" customFormat="1" x14ac:dyDescent="0.2">
      <c r="A492" s="14" t="s">
        <v>2986</v>
      </c>
      <c r="B492" s="14" t="s">
        <v>18</v>
      </c>
      <c r="C492" s="14">
        <v>2025</v>
      </c>
      <c r="D492" s="14" t="str">
        <f t="array" ref="D492">_xlfn.SWITCH(E492,"Bagor","35.18.14","Sukomoro",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2" s="13" t="s">
        <v>91</v>
      </c>
      <c r="F492" s="25" t="s">
        <v>1002</v>
      </c>
      <c r="G492" s="25" t="s">
        <v>1003</v>
      </c>
      <c r="H492" s="13" t="s">
        <v>20</v>
      </c>
      <c r="I492" s="14" t="s">
        <v>61</v>
      </c>
      <c r="J492" s="15">
        <v>50</v>
      </c>
      <c r="K492" s="13" t="s">
        <v>37</v>
      </c>
      <c r="L492" s="22">
        <f>J492*11100000</f>
        <v>555000000</v>
      </c>
      <c r="M492" s="23" t="s">
        <v>1004</v>
      </c>
      <c r="N492" s="17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</row>
    <row r="493" spans="1:67" s="3" customFormat="1" x14ac:dyDescent="0.2">
      <c r="A493" s="14" t="s">
        <v>2986</v>
      </c>
      <c r="B493" s="14" t="s">
        <v>18</v>
      </c>
      <c r="C493" s="14">
        <v>2025</v>
      </c>
      <c r="D493" s="14" t="str">
        <f t="array" ref="D493">_xlfn.SWITCH(E493,"Jatikalen","35.18.20","Kertosono", "35.18.08","Lengkong","35.18.19","Loceret","35.18.04","Tanjunganom","35.18.11","Wilangan","35.18.15")</f>
        <v>35.18.04</v>
      </c>
      <c r="E493" s="13" t="s">
        <v>15</v>
      </c>
      <c r="F493" s="25" t="s">
        <v>560</v>
      </c>
      <c r="G493" s="25" t="s">
        <v>1005</v>
      </c>
      <c r="H493" s="13" t="s">
        <v>43</v>
      </c>
      <c r="I493" s="14" t="s">
        <v>1006</v>
      </c>
      <c r="J493" s="15">
        <v>250</v>
      </c>
      <c r="K493" s="13" t="s">
        <v>730</v>
      </c>
      <c r="L493" s="22">
        <v>330850000</v>
      </c>
      <c r="M493" s="19" t="s">
        <v>239</v>
      </c>
      <c r="N493" s="17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</row>
    <row r="494" spans="1:67" s="3" customFormat="1" x14ac:dyDescent="0.2">
      <c r="A494" s="14" t="s">
        <v>2986</v>
      </c>
      <c r="B494" s="14" t="s">
        <v>18</v>
      </c>
      <c r="C494" s="14">
        <v>2025</v>
      </c>
      <c r="D494" s="14" t="str">
        <f t="array" ref="D494">_xlfn.SWITCH(E494,"Bagor","35.18.14","Sukomoro",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94" s="13" t="s">
        <v>35</v>
      </c>
      <c r="F494" s="25" t="s">
        <v>1007</v>
      </c>
      <c r="G494" s="25" t="s">
        <v>1008</v>
      </c>
      <c r="H494" s="13" t="s">
        <v>20</v>
      </c>
      <c r="I494" s="14" t="s">
        <v>229</v>
      </c>
      <c r="J494" s="15">
        <v>1200</v>
      </c>
      <c r="K494" s="13" t="s">
        <v>700</v>
      </c>
      <c r="L494" s="22">
        <f>J494*300000</f>
        <v>360000000</v>
      </c>
      <c r="M494" s="19" t="s">
        <v>77</v>
      </c>
      <c r="N494" s="17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</row>
    <row r="495" spans="1:67" s="3" customFormat="1" ht="20" x14ac:dyDescent="0.2">
      <c r="A495" s="14" t="s">
        <v>2986</v>
      </c>
      <c r="B495" s="14" t="s">
        <v>18</v>
      </c>
      <c r="C495" s="14">
        <v>2025</v>
      </c>
      <c r="D495" s="14" t="str">
        <f t="array" ref="D495">_xlfn.SWITCH(E495,"Bagor","35.18.14","Sukomoro",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95" s="13" t="s">
        <v>50</v>
      </c>
      <c r="F495" s="25" t="s">
        <v>1009</v>
      </c>
      <c r="G495" s="25" t="s">
        <v>1010</v>
      </c>
      <c r="H495" s="13" t="s">
        <v>43</v>
      </c>
      <c r="I495" s="14" t="s">
        <v>295</v>
      </c>
      <c r="J495" s="15">
        <v>400000</v>
      </c>
      <c r="K495" s="13" t="s">
        <v>1011</v>
      </c>
      <c r="L495" s="22">
        <v>175000000</v>
      </c>
      <c r="M495" s="23" t="s">
        <v>1012</v>
      </c>
      <c r="N495" s="17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</row>
    <row r="496" spans="1:67" s="3" customFormat="1" x14ac:dyDescent="0.2">
      <c r="A496" s="14" t="s">
        <v>2986</v>
      </c>
      <c r="B496" s="14" t="s">
        <v>18</v>
      </c>
      <c r="C496" s="14">
        <v>2025</v>
      </c>
      <c r="D496" s="14" t="str">
        <f t="array" ref="D496">_xlfn.SWITCH(E496,"Jatikalen","35.18.20","Kertosono", "35.18.08","Lengkong","35.18.19","Loceret","35.18.04","Tanjunganom","35.18.11","Wilangan","35.18.15")</f>
        <v>35.18.04</v>
      </c>
      <c r="E496" s="13" t="s">
        <v>15</v>
      </c>
      <c r="F496" s="25" t="s">
        <v>1013</v>
      </c>
      <c r="G496" s="25" t="s">
        <v>1014</v>
      </c>
      <c r="H496" s="13" t="s">
        <v>43</v>
      </c>
      <c r="I496" s="14" t="s">
        <v>61</v>
      </c>
      <c r="J496" s="15">
        <v>140</v>
      </c>
      <c r="K496" s="13" t="s">
        <v>1015</v>
      </c>
      <c r="L496" s="22">
        <f>J496*10000000</f>
        <v>1400000000</v>
      </c>
      <c r="M496" s="19" t="s">
        <v>1016</v>
      </c>
      <c r="N496" s="17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</row>
    <row r="497" spans="1:67" s="3" customFormat="1" x14ac:dyDescent="0.2">
      <c r="A497" s="14" t="s">
        <v>2986</v>
      </c>
      <c r="B497" s="14" t="s">
        <v>18</v>
      </c>
      <c r="C497" s="14">
        <v>2025</v>
      </c>
      <c r="D497" s="14" t="str">
        <f t="array" ref="D497">_xlfn.SWITCH(E497,"Bagor","35.18.14","Sukomoro",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97" s="13" t="s">
        <v>57</v>
      </c>
      <c r="F497" s="25" t="s">
        <v>1017</v>
      </c>
      <c r="G497" s="25" t="s">
        <v>1018</v>
      </c>
      <c r="H497" s="13" t="s">
        <v>43</v>
      </c>
      <c r="I497" s="14" t="s">
        <v>736</v>
      </c>
      <c r="J497" s="15">
        <v>6000</v>
      </c>
      <c r="K497" s="13" t="s">
        <v>737</v>
      </c>
      <c r="L497" s="22">
        <v>117350000</v>
      </c>
      <c r="M497" s="19" t="s">
        <v>708</v>
      </c>
      <c r="N497" s="17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</row>
    <row r="498" spans="1:67" s="3" customFormat="1" x14ac:dyDescent="0.2">
      <c r="A498" s="14" t="s">
        <v>2986</v>
      </c>
      <c r="B498" s="14" t="s">
        <v>18</v>
      </c>
      <c r="C498" s="14">
        <v>2025</v>
      </c>
      <c r="D498" s="14" t="str">
        <f t="array" ref="D498">_xlfn.SWITCH(E498,"Bagor","35.18.14","Sukomoro",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8" s="13" t="s">
        <v>72</v>
      </c>
      <c r="F498" s="25" t="s">
        <v>1019</v>
      </c>
      <c r="G498" s="25" t="s">
        <v>1020</v>
      </c>
      <c r="H498" s="13" t="s">
        <v>20</v>
      </c>
      <c r="I498" s="14" t="s">
        <v>61</v>
      </c>
      <c r="J498" s="15">
        <v>30</v>
      </c>
      <c r="K498" s="13" t="s">
        <v>37</v>
      </c>
      <c r="L498" s="22">
        <f>J498*15000000</f>
        <v>450000000</v>
      </c>
      <c r="M498" s="19" t="s">
        <v>69</v>
      </c>
      <c r="N498" s="17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</row>
    <row r="499" spans="1:67" s="3" customFormat="1" x14ac:dyDescent="0.2">
      <c r="A499" s="14" t="s">
        <v>2986</v>
      </c>
      <c r="B499" s="14" t="s">
        <v>18</v>
      </c>
      <c r="C499" s="14">
        <v>2025</v>
      </c>
      <c r="D499" s="14" t="str">
        <f t="array" ref="D499">_xlfn.SWITCH(E499,"Bagor","35.18.14","Sukomoro",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9" s="13" t="s">
        <v>72</v>
      </c>
      <c r="F499" s="25" t="s">
        <v>1021</v>
      </c>
      <c r="G499" s="25" t="s">
        <v>1022</v>
      </c>
      <c r="H499" s="13" t="s">
        <v>20</v>
      </c>
      <c r="I499" s="14" t="s">
        <v>61</v>
      </c>
      <c r="J499" s="15">
        <v>30</v>
      </c>
      <c r="K499" s="13" t="s">
        <v>37</v>
      </c>
      <c r="L499" s="22">
        <f>J499*16000000</f>
        <v>480000000</v>
      </c>
      <c r="M499" s="19" t="s">
        <v>69</v>
      </c>
      <c r="N499" s="17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</row>
    <row r="500" spans="1:67" s="3" customFormat="1" ht="20" x14ac:dyDescent="0.2">
      <c r="A500" s="14" t="s">
        <v>2986</v>
      </c>
      <c r="B500" s="14" t="s">
        <v>18</v>
      </c>
      <c r="C500" s="14">
        <v>2025</v>
      </c>
      <c r="D500" s="14" t="str">
        <f t="array" ref="D500">_xlfn.SWITCH(E500,"Bagor","35.18.14","Sukomoro",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0" s="13" t="s">
        <v>98</v>
      </c>
      <c r="F500" s="25" t="s">
        <v>1023</v>
      </c>
      <c r="G500" s="25" t="s">
        <v>1024</v>
      </c>
      <c r="H500" s="13" t="s">
        <v>20</v>
      </c>
      <c r="I500" s="14" t="s">
        <v>1025</v>
      </c>
      <c r="J500" s="15">
        <v>1432</v>
      </c>
      <c r="K500" s="13" t="s">
        <v>953</v>
      </c>
      <c r="L500" s="22">
        <f>J500*1500</f>
        <v>2148000</v>
      </c>
      <c r="M500" s="23" t="s">
        <v>1026</v>
      </c>
      <c r="N500" s="17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</row>
    <row r="501" spans="1:67" s="3" customFormat="1" ht="20" x14ac:dyDescent="0.2">
      <c r="A501" s="14" t="s">
        <v>2986</v>
      </c>
      <c r="B501" s="14" t="s">
        <v>18</v>
      </c>
      <c r="C501" s="14">
        <v>2025</v>
      </c>
      <c r="D501" s="14" t="str">
        <f t="array" ref="D501">_xlfn.SWITCH(E501,"Bagor","35.18.14","Sukomoro",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1" s="13" t="s">
        <v>98</v>
      </c>
      <c r="F501" s="25" t="s">
        <v>1027</v>
      </c>
      <c r="G501" s="25" t="s">
        <v>1028</v>
      </c>
      <c r="H501" s="13" t="s">
        <v>20</v>
      </c>
      <c r="I501" s="14" t="s">
        <v>1029</v>
      </c>
      <c r="J501" s="15">
        <v>50000</v>
      </c>
      <c r="K501" s="13" t="s">
        <v>953</v>
      </c>
      <c r="L501" s="22">
        <f>J501*2000</f>
        <v>100000000</v>
      </c>
      <c r="M501" s="23" t="s">
        <v>1026</v>
      </c>
      <c r="N501" s="17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</row>
    <row r="502" spans="1:67" s="3" customFormat="1" ht="20" x14ac:dyDescent="0.2">
      <c r="A502" s="14" t="s">
        <v>2986</v>
      </c>
      <c r="B502" s="14" t="s">
        <v>18</v>
      </c>
      <c r="C502" s="14">
        <v>2025</v>
      </c>
      <c r="D502" s="14" t="str">
        <f t="array" ref="D502">_xlfn.SWITCH(E502,"Bagor","35.18.14","Sukomoro",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2" s="13" t="s">
        <v>98</v>
      </c>
      <c r="F502" s="25" t="s">
        <v>1030</v>
      </c>
      <c r="G502" s="25" t="s">
        <v>1031</v>
      </c>
      <c r="H502" s="13" t="s">
        <v>20</v>
      </c>
      <c r="I502" s="14" t="s">
        <v>1032</v>
      </c>
      <c r="J502" s="15">
        <v>30000</v>
      </c>
      <c r="K502" s="13" t="s">
        <v>953</v>
      </c>
      <c r="L502" s="22">
        <f>J502*1000</f>
        <v>30000000</v>
      </c>
      <c r="M502" s="23" t="s">
        <v>1026</v>
      </c>
      <c r="N502" s="17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</row>
    <row r="503" spans="1:67" s="3" customFormat="1" ht="20" x14ac:dyDescent="0.2">
      <c r="A503" s="14" t="s">
        <v>2986</v>
      </c>
      <c r="B503" s="14" t="s">
        <v>18</v>
      </c>
      <c r="C503" s="14">
        <v>2025</v>
      </c>
      <c r="D503" s="14" t="str">
        <f t="array" ref="D503">_xlfn.SWITCH(E503,"Bagor","35.18.14","Sukomoro",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3" s="13" t="s">
        <v>98</v>
      </c>
      <c r="F503" s="25" t="s">
        <v>1033</v>
      </c>
      <c r="G503" s="25" t="s">
        <v>1034</v>
      </c>
      <c r="H503" s="13" t="s">
        <v>9</v>
      </c>
      <c r="I503" s="14" t="s">
        <v>1035</v>
      </c>
      <c r="J503" s="15">
        <v>540000000</v>
      </c>
      <c r="K503" s="13" t="s">
        <v>953</v>
      </c>
      <c r="L503" s="22">
        <v>648000000</v>
      </c>
      <c r="M503" s="23" t="s">
        <v>1026</v>
      </c>
      <c r="N503" s="17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</row>
    <row r="504" spans="1:67" s="3" customFormat="1" x14ac:dyDescent="0.2">
      <c r="A504" s="14" t="s">
        <v>2986</v>
      </c>
      <c r="B504" s="14" t="s">
        <v>18</v>
      </c>
      <c r="C504" s="14">
        <v>2025</v>
      </c>
      <c r="D504" s="14" t="str">
        <f t="array" ref="D504">_xlfn.SWITCH(E504,"Jatikalen","35.18.20","Kertosono", "35.18.08","Lengkong","35.18.19","Loceret","35.18.04","Tanjunganom","35.18.11","Wilangan","35.18.15")</f>
        <v>35.18.04</v>
      </c>
      <c r="E504" s="13" t="s">
        <v>1037</v>
      </c>
      <c r="F504" s="25" t="s">
        <v>1036</v>
      </c>
      <c r="G504" s="25" t="s">
        <v>1038</v>
      </c>
      <c r="H504" s="13" t="s">
        <v>20</v>
      </c>
      <c r="I504" s="14" t="s">
        <v>61</v>
      </c>
      <c r="J504" s="15">
        <v>2000</v>
      </c>
      <c r="K504" s="13" t="s">
        <v>37</v>
      </c>
      <c r="L504" s="22">
        <f>J504*9000000</f>
        <v>18000000000</v>
      </c>
      <c r="M504" s="23" t="s">
        <v>128</v>
      </c>
      <c r="N504" s="17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</row>
    <row r="505" spans="1:67" s="3" customFormat="1" ht="20" x14ac:dyDescent="0.2">
      <c r="A505" s="14" t="s">
        <v>2986</v>
      </c>
      <c r="B505" s="14" t="s">
        <v>18</v>
      </c>
      <c r="C505" s="14">
        <v>2025</v>
      </c>
      <c r="D505" s="14" t="str">
        <f t="array" ref="D505">_xlfn.SWITCH(E505,"Bagor","35.18.14","Sukomoro",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5" s="13" t="s">
        <v>65</v>
      </c>
      <c r="F505" s="25" t="s">
        <v>1039</v>
      </c>
      <c r="G505" s="25" t="s">
        <v>1040</v>
      </c>
      <c r="H505" s="13" t="s">
        <v>20</v>
      </c>
      <c r="I505" s="14" t="s">
        <v>61</v>
      </c>
      <c r="J505" s="15">
        <v>20</v>
      </c>
      <c r="K505" s="13" t="s">
        <v>37</v>
      </c>
      <c r="L505" s="22">
        <f>J505*10000000</f>
        <v>200000000</v>
      </c>
      <c r="M505" s="23" t="s">
        <v>1041</v>
      </c>
      <c r="N505" s="17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</row>
    <row r="506" spans="1:67" s="3" customFormat="1" ht="20" x14ac:dyDescent="0.2">
      <c r="A506" s="14" t="s">
        <v>2986</v>
      </c>
      <c r="B506" s="14" t="s">
        <v>18</v>
      </c>
      <c r="C506" s="14">
        <v>2025</v>
      </c>
      <c r="D506" s="14" t="str">
        <f t="array" ref="D506">_xlfn.SWITCH(E506,"Jatikalen","35.18.20","Kertosono", "35.18.08","Lengkong","35.18.19","Loceret","35.18.04","Tanjunganom","35.18.11","Wilangan","35.18.15")</f>
        <v>35.18.04</v>
      </c>
      <c r="E506" s="13" t="s">
        <v>15</v>
      </c>
      <c r="F506" s="25" t="s">
        <v>1042</v>
      </c>
      <c r="G506" s="25" t="s">
        <v>1043</v>
      </c>
      <c r="H506" s="13" t="s">
        <v>20</v>
      </c>
      <c r="I506" s="14" t="s">
        <v>1044</v>
      </c>
      <c r="J506" s="15">
        <v>100</v>
      </c>
      <c r="K506" s="13" t="s">
        <v>730</v>
      </c>
      <c r="L506" s="22">
        <v>185000000</v>
      </c>
      <c r="M506" s="23" t="s">
        <v>1045</v>
      </c>
      <c r="N506" s="17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</row>
    <row r="507" spans="1:67" s="3" customFormat="1" ht="20" x14ac:dyDescent="0.2">
      <c r="A507" s="14" t="s">
        <v>2986</v>
      </c>
      <c r="B507" s="14" t="s">
        <v>18</v>
      </c>
      <c r="C507" s="14">
        <v>2025</v>
      </c>
      <c r="D507" s="14" t="str">
        <f t="array" ref="D507">_xlfn.SWITCH(E507,"Jatikalen","35.18.20","Kertosono", "35.18.08","Lengkong","35.18.19","Loceret","35.18.04","Tanjunganom","35.18.11","Wilangan","35.18.15")</f>
        <v>35.18.04</v>
      </c>
      <c r="E507" s="13" t="s">
        <v>15</v>
      </c>
      <c r="F507" s="25" t="s">
        <v>1046</v>
      </c>
      <c r="G507" s="25" t="s">
        <v>1047</v>
      </c>
      <c r="H507" s="13" t="s">
        <v>9</v>
      </c>
      <c r="I507" s="14" t="s">
        <v>295</v>
      </c>
      <c r="J507" s="15">
        <v>500</v>
      </c>
      <c r="K507" s="13" t="s">
        <v>1048</v>
      </c>
      <c r="L507" s="22">
        <f>J507*405000</f>
        <v>202500000</v>
      </c>
      <c r="M507" s="23" t="s">
        <v>1049</v>
      </c>
      <c r="N507" s="17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</row>
    <row r="508" spans="1:67" s="3" customFormat="1" ht="20" x14ac:dyDescent="0.2">
      <c r="A508" s="14" t="s">
        <v>2986</v>
      </c>
      <c r="B508" s="14" t="s">
        <v>18</v>
      </c>
      <c r="C508" s="14">
        <v>2025</v>
      </c>
      <c r="D508" s="14" t="str">
        <f t="array" ref="D508">_xlfn.SWITCH(E508,"Bagor","35.18.14","Sukomoro",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08" s="13" t="s">
        <v>84</v>
      </c>
      <c r="F508" s="25" t="s">
        <v>1050</v>
      </c>
      <c r="G508" s="25" t="s">
        <v>1051</v>
      </c>
      <c r="H508" s="13" t="s">
        <v>20</v>
      </c>
      <c r="I508" s="14" t="s">
        <v>61</v>
      </c>
      <c r="J508" s="15">
        <v>100</v>
      </c>
      <c r="K508" s="13" t="s">
        <v>37</v>
      </c>
      <c r="L508" s="22">
        <f>J508*11500000</f>
        <v>1150000000</v>
      </c>
      <c r="M508" s="23" t="s">
        <v>1049</v>
      </c>
      <c r="N508" s="17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</row>
    <row r="509" spans="1:67" s="3" customFormat="1" x14ac:dyDescent="0.2">
      <c r="A509" s="14" t="s">
        <v>2986</v>
      </c>
      <c r="B509" s="14" t="s">
        <v>18</v>
      </c>
      <c r="C509" s="14">
        <v>2025</v>
      </c>
      <c r="D509" s="14" t="str">
        <f t="array" ref="D509">_xlfn.SWITCH(E509,"Bagor","35.18.14","Sukomoro",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09" s="13" t="s">
        <v>7</v>
      </c>
      <c r="F509" s="25" t="s">
        <v>1052</v>
      </c>
      <c r="G509" s="25" t="s">
        <v>1053</v>
      </c>
      <c r="H509" s="13" t="s">
        <v>20</v>
      </c>
      <c r="I509" s="14" t="s">
        <v>61</v>
      </c>
      <c r="J509" s="15">
        <v>30</v>
      </c>
      <c r="K509" s="13" t="s">
        <v>37</v>
      </c>
      <c r="L509" s="22">
        <f>J509*10300000</f>
        <v>309000000</v>
      </c>
      <c r="M509" s="23" t="s">
        <v>1054</v>
      </c>
      <c r="N509" s="17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</row>
    <row r="510" spans="1:67" s="3" customFormat="1" x14ac:dyDescent="0.2">
      <c r="A510" s="14" t="s">
        <v>2986</v>
      </c>
      <c r="B510" s="14" t="s">
        <v>18</v>
      </c>
      <c r="C510" s="14">
        <v>2025</v>
      </c>
      <c r="D510" s="14" t="str">
        <f t="array" ref="D510">_xlfn.SWITCH(E510,"Bagor","35.18.14","Sukomoro",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510" s="13" t="s">
        <v>583</v>
      </c>
      <c r="F510" s="25" t="s">
        <v>1055</v>
      </c>
      <c r="G510" s="25" t="s">
        <v>1056</v>
      </c>
      <c r="H510" s="13" t="s">
        <v>20</v>
      </c>
      <c r="I510" s="14" t="s">
        <v>61</v>
      </c>
      <c r="J510" s="15">
        <v>100</v>
      </c>
      <c r="K510" s="13" t="s">
        <v>1057</v>
      </c>
      <c r="L510" s="22">
        <f>J510*10100000</f>
        <v>1010000000</v>
      </c>
      <c r="M510" s="23" t="s">
        <v>1058</v>
      </c>
      <c r="N510" s="17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</row>
    <row r="511" spans="1:67" s="3" customFormat="1" x14ac:dyDescent="0.2">
      <c r="A511" s="14" t="s">
        <v>2986</v>
      </c>
      <c r="B511" s="14" t="s">
        <v>18</v>
      </c>
      <c r="C511" s="14">
        <v>2025</v>
      </c>
      <c r="D511" s="14" t="str">
        <f t="array" ref="D511">_xlfn.SWITCH(E511,"Bagor","35.18.14","Sukomoro",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11" s="13" t="s">
        <v>7</v>
      </c>
      <c r="F511" s="25" t="s">
        <v>1059</v>
      </c>
      <c r="G511" s="25" t="s">
        <v>1060</v>
      </c>
      <c r="H511" s="13" t="s">
        <v>20</v>
      </c>
      <c r="I511" s="14" t="s">
        <v>61</v>
      </c>
      <c r="J511" s="15">
        <v>30</v>
      </c>
      <c r="K511" s="13" t="s">
        <v>34</v>
      </c>
      <c r="L511" s="22">
        <f>J511*10500000</f>
        <v>315000000</v>
      </c>
      <c r="M511" s="19" t="s">
        <v>1061</v>
      </c>
      <c r="N511" s="17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</row>
    <row r="512" spans="1:67" s="3" customFormat="1" x14ac:dyDescent="0.2">
      <c r="A512" s="14" t="s">
        <v>2986</v>
      </c>
      <c r="B512" s="14" t="s">
        <v>18</v>
      </c>
      <c r="C512" s="14">
        <v>2025</v>
      </c>
      <c r="D512" s="14" t="str">
        <f t="array" ref="D512">_xlfn.SWITCH(E512,"Jatikalen","35.18.20","Kertosono", "35.18.08","Lengkong","35.18.19","Loceret","35.18.04","Tanjunganom","35.18.11","Wilangan","35.18.15")</f>
        <v>35.18.08</v>
      </c>
      <c r="E512" s="13" t="s">
        <v>75</v>
      </c>
      <c r="F512" s="25" t="s">
        <v>1062</v>
      </c>
      <c r="G512" s="25" t="s">
        <v>1063</v>
      </c>
      <c r="H512" s="13" t="s">
        <v>9</v>
      </c>
      <c r="I512" s="14" t="s">
        <v>795</v>
      </c>
      <c r="J512" s="15">
        <v>3000</v>
      </c>
      <c r="K512" s="13" t="s">
        <v>872</v>
      </c>
      <c r="L512" s="22">
        <v>100000000</v>
      </c>
      <c r="M512" s="19" t="s">
        <v>1064</v>
      </c>
      <c r="N512" s="17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</row>
    <row r="513" spans="1:67" s="3" customFormat="1" x14ac:dyDescent="0.2">
      <c r="A513" s="14" t="s">
        <v>2986</v>
      </c>
      <c r="B513" s="14" t="s">
        <v>18</v>
      </c>
      <c r="C513" s="14">
        <v>2025</v>
      </c>
      <c r="D513" s="14" t="str">
        <f t="array" ref="D513">_xlfn.SWITCH(E513,"Bagor","35.18.14","Sukomoro",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13" s="13" t="s">
        <v>102</v>
      </c>
      <c r="F513" s="25" t="s">
        <v>1065</v>
      </c>
      <c r="G513" s="25" t="s">
        <v>1066</v>
      </c>
      <c r="H513" s="13" t="s">
        <v>9</v>
      </c>
      <c r="I513" s="14" t="s">
        <v>1067</v>
      </c>
      <c r="J513" s="44">
        <v>200</v>
      </c>
      <c r="K513" s="45" t="s">
        <v>1068</v>
      </c>
      <c r="L513" s="22">
        <v>840000000</v>
      </c>
      <c r="M513" s="46"/>
      <c r="N513" s="17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</row>
    <row r="514" spans="1:67" s="3" customFormat="1" x14ac:dyDescent="0.2">
      <c r="A514" s="14" t="s">
        <v>2986</v>
      </c>
      <c r="B514" s="14" t="s">
        <v>18</v>
      </c>
      <c r="C514" s="14">
        <v>2025</v>
      </c>
      <c r="D514" s="14" t="str">
        <f t="array" ref="D514">_xlfn.SWITCH(E514,"Bagor","35.18.14","Sukomoro",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14" s="13" t="s">
        <v>50</v>
      </c>
      <c r="F514" s="25" t="s">
        <v>1069</v>
      </c>
      <c r="G514" s="25" t="s">
        <v>1070</v>
      </c>
      <c r="H514" s="13" t="s">
        <v>9</v>
      </c>
      <c r="I514" s="14" t="s">
        <v>1071</v>
      </c>
      <c r="J514" s="44">
        <v>7200</v>
      </c>
      <c r="K514" s="45" t="s">
        <v>700</v>
      </c>
      <c r="L514" s="22">
        <v>126000000</v>
      </c>
      <c r="M514" s="46"/>
      <c r="N514" s="17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</row>
    <row r="515" spans="1:67" s="3" customFormat="1" x14ac:dyDescent="0.2">
      <c r="A515" s="14" t="s">
        <v>2986</v>
      </c>
      <c r="B515" s="14" t="s">
        <v>18</v>
      </c>
      <c r="C515" s="14">
        <v>2025</v>
      </c>
      <c r="D515" s="14" t="str">
        <f t="array" ref="D515">_xlfn.SWITCH(E515,"Jatikalen","35.18.20","Kertosono", "35.18.08","Lengkong","35.18.19","Loceret","35.18.04","Tanjunganom","35.18.11","Wilangan","35.18.15")</f>
        <v>35.18.04</v>
      </c>
      <c r="E515" s="13" t="s">
        <v>15</v>
      </c>
      <c r="F515" s="25" t="s">
        <v>1072</v>
      </c>
      <c r="G515" s="25" t="s">
        <v>1073</v>
      </c>
      <c r="H515" s="13" t="s">
        <v>9</v>
      </c>
      <c r="I515" s="14" t="s">
        <v>166</v>
      </c>
      <c r="J515" s="44">
        <v>50000</v>
      </c>
      <c r="K515" s="45" t="s">
        <v>627</v>
      </c>
      <c r="L515" s="22">
        <v>1732500000</v>
      </c>
      <c r="M515" s="46"/>
      <c r="N515" s="17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</row>
    <row r="516" spans="1:67" s="3" customFormat="1" ht="20" x14ac:dyDescent="0.2">
      <c r="A516" s="14" t="s">
        <v>2986</v>
      </c>
      <c r="B516" s="14" t="s">
        <v>18</v>
      </c>
      <c r="C516" s="14">
        <v>2025</v>
      </c>
      <c r="D516" s="14" t="str">
        <f t="array" ref="D516">_xlfn.SWITCH(E516,"Bagor","35.18.14","Sukomoro",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16" s="13" t="s">
        <v>65</v>
      </c>
      <c r="F516" s="25" t="s">
        <v>1074</v>
      </c>
      <c r="G516" s="25" t="s">
        <v>1075</v>
      </c>
      <c r="H516" s="13" t="s">
        <v>9</v>
      </c>
      <c r="I516" s="14" t="s">
        <v>1071</v>
      </c>
      <c r="J516" s="47">
        <v>140</v>
      </c>
      <c r="K516" s="45" t="s">
        <v>902</v>
      </c>
      <c r="L516" s="22">
        <v>39600000</v>
      </c>
      <c r="M516" s="46"/>
      <c r="N516" s="17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</row>
    <row r="517" spans="1:67" s="3" customFormat="1" x14ac:dyDescent="0.2">
      <c r="A517" s="14" t="s">
        <v>2986</v>
      </c>
      <c r="B517" s="14" t="s">
        <v>18</v>
      </c>
      <c r="C517" s="14">
        <v>2025</v>
      </c>
      <c r="D517" s="14" t="str">
        <f t="array" ref="D517">_xlfn.SWITCH(E517,"Bagor","35.18.14","Sukomoro",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17" s="13" t="s">
        <v>18</v>
      </c>
      <c r="F517" s="25" t="s">
        <v>1076</v>
      </c>
      <c r="G517" s="25" t="s">
        <v>1077</v>
      </c>
      <c r="H517" s="13" t="s">
        <v>9</v>
      </c>
      <c r="I517" s="14" t="s">
        <v>1078</v>
      </c>
      <c r="J517" s="44">
        <v>3600</v>
      </c>
      <c r="K517" s="45" t="s">
        <v>22</v>
      </c>
      <c r="L517" s="48">
        <v>7938000</v>
      </c>
      <c r="M517" s="46"/>
      <c r="N517" s="17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</row>
    <row r="518" spans="1:67" s="3" customFormat="1" x14ac:dyDescent="0.2">
      <c r="A518" s="14" t="s">
        <v>2986</v>
      </c>
      <c r="B518" s="14" t="s">
        <v>18</v>
      </c>
      <c r="C518" s="14">
        <v>2025</v>
      </c>
      <c r="D518" s="14" t="str">
        <f t="array" ref="D518">_xlfn.SWITCH(E518,"Jatikalen","35.18.20","Kertosono", "35.18.08","Lengkong","35.18.19","Loceret","35.18.04","Tanjunganom","35.18.11","Wilangan","35.18.15")</f>
        <v>35.18.11</v>
      </c>
      <c r="E518" s="13" t="s">
        <v>27</v>
      </c>
      <c r="F518" s="25" t="s">
        <v>1079</v>
      </c>
      <c r="G518" s="25" t="s">
        <v>1080</v>
      </c>
      <c r="H518" s="13" t="s">
        <v>9</v>
      </c>
      <c r="I518" s="14" t="s">
        <v>795</v>
      </c>
      <c r="J518" s="49">
        <v>390</v>
      </c>
      <c r="K518" s="45" t="s">
        <v>872</v>
      </c>
      <c r="L518" s="22">
        <v>71250000</v>
      </c>
      <c r="M518" s="46"/>
      <c r="N518" s="17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</row>
    <row r="519" spans="1:67" s="3" customFormat="1" x14ac:dyDescent="0.2">
      <c r="A519" s="14" t="s">
        <v>2986</v>
      </c>
      <c r="B519" s="14" t="s">
        <v>18</v>
      </c>
      <c r="C519" s="14">
        <v>2025</v>
      </c>
      <c r="D519" s="14" t="str">
        <f t="array" ref="D519">_xlfn.SWITCH(E519,"Bagor","35.18.14","Sukomoro",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19" s="13" t="s">
        <v>84</v>
      </c>
      <c r="F519" s="25" t="s">
        <v>1081</v>
      </c>
      <c r="G519" s="25" t="s">
        <v>1082</v>
      </c>
      <c r="H519" s="13" t="s">
        <v>9</v>
      </c>
      <c r="I519" s="14" t="s">
        <v>1083</v>
      </c>
      <c r="J519" s="49">
        <v>700</v>
      </c>
      <c r="K519" s="45" t="s">
        <v>22</v>
      </c>
      <c r="L519" s="22">
        <f>700*150000</f>
        <v>105000000</v>
      </c>
      <c r="M519" s="46"/>
      <c r="N519" s="17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</row>
    <row r="520" spans="1:67" s="3" customFormat="1" x14ac:dyDescent="0.2">
      <c r="A520" s="14" t="s">
        <v>2986</v>
      </c>
      <c r="B520" s="14" t="s">
        <v>18</v>
      </c>
      <c r="C520" s="14">
        <v>2025</v>
      </c>
      <c r="D520" s="14" t="str">
        <f t="array" ref="D520">_xlfn.SWITCH(E520,"Bagor","35.18.14","Sukomoro",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20" s="13" t="s">
        <v>57</v>
      </c>
      <c r="F520" s="25" t="s">
        <v>892</v>
      </c>
      <c r="G520" s="25" t="s">
        <v>1084</v>
      </c>
      <c r="H520" s="13"/>
      <c r="I520" s="14" t="s">
        <v>1085</v>
      </c>
      <c r="J520" s="44">
        <v>810</v>
      </c>
      <c r="K520" s="45" t="s">
        <v>22</v>
      </c>
      <c r="L520" s="48">
        <v>121500000</v>
      </c>
      <c r="M520" s="46"/>
      <c r="N520" s="17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</row>
    <row r="521" spans="1:67" s="3" customFormat="1" x14ac:dyDescent="0.2">
      <c r="A521" s="14" t="s">
        <v>2986</v>
      </c>
      <c r="B521" s="14" t="s">
        <v>18</v>
      </c>
      <c r="C521" s="14">
        <v>2025</v>
      </c>
      <c r="D521" s="14" t="str">
        <f t="array" ref="D521">_xlfn.SWITCH(E521,"Bagor","35.18.14","Sukomoro",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21" s="13" t="s">
        <v>65</v>
      </c>
      <c r="F521" s="25" t="s">
        <v>1086</v>
      </c>
      <c r="G521" s="25" t="s">
        <v>1087</v>
      </c>
      <c r="H521" s="13" t="s">
        <v>9</v>
      </c>
      <c r="I521" s="14" t="s">
        <v>1088</v>
      </c>
      <c r="J521" s="44">
        <v>24</v>
      </c>
      <c r="K521" s="45" t="s">
        <v>45</v>
      </c>
      <c r="L521" s="48">
        <v>38400000</v>
      </c>
      <c r="M521" s="46"/>
      <c r="N521" s="17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</row>
    <row r="522" spans="1:67" s="3" customFormat="1" ht="20" x14ac:dyDescent="0.2">
      <c r="A522" s="14" t="s">
        <v>2986</v>
      </c>
      <c r="B522" s="14" t="s">
        <v>18</v>
      </c>
      <c r="C522" s="14">
        <v>2025</v>
      </c>
      <c r="D522" s="14" t="str">
        <f t="array" ref="D522">_xlfn.SWITCH(E522,"Bagor","35.18.14","Sukomoro",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22" s="13" t="s">
        <v>98</v>
      </c>
      <c r="F522" s="25" t="s">
        <v>1089</v>
      </c>
      <c r="G522" s="25" t="s">
        <v>1090</v>
      </c>
      <c r="H522" s="13" t="s">
        <v>20</v>
      </c>
      <c r="I522" s="14" t="s">
        <v>1091</v>
      </c>
      <c r="J522" s="44">
        <v>1500</v>
      </c>
      <c r="K522" s="45" t="s">
        <v>1057</v>
      </c>
      <c r="L522" s="48">
        <v>2250000000</v>
      </c>
      <c r="M522" s="46"/>
      <c r="N522" s="17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</row>
    <row r="523" spans="1:67" s="3" customFormat="1" ht="20" x14ac:dyDescent="0.2">
      <c r="A523" s="14" t="s">
        <v>2986</v>
      </c>
      <c r="B523" s="14" t="s">
        <v>18</v>
      </c>
      <c r="C523" s="14">
        <v>2025</v>
      </c>
      <c r="D523" s="14" t="str">
        <f t="array" ref="D523">_xlfn.SWITCH(E523,"Jatikalen","35.18.20","Kertosono", "35.18.08","Lengkong","35.18.19","Loceret","35.18.04","Tanjunganom","35.18.11","Wilangan","35.18.15")</f>
        <v>35.18.11</v>
      </c>
      <c r="E523" s="13" t="s">
        <v>27</v>
      </c>
      <c r="F523" s="25" t="s">
        <v>1092</v>
      </c>
      <c r="G523" s="25" t="s">
        <v>1093</v>
      </c>
      <c r="H523" s="13" t="s">
        <v>20</v>
      </c>
      <c r="I523" s="14" t="s">
        <v>1071</v>
      </c>
      <c r="J523" s="44">
        <v>3000</v>
      </c>
      <c r="K523" s="45" t="s">
        <v>217</v>
      </c>
      <c r="L523" s="48">
        <f>3000*40000</f>
        <v>120000000</v>
      </c>
      <c r="M523" s="46"/>
      <c r="N523" s="17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</row>
    <row r="524" spans="1:67" s="3" customFormat="1" ht="20" x14ac:dyDescent="0.2">
      <c r="A524" s="14" t="s">
        <v>2986</v>
      </c>
      <c r="B524" s="14" t="s">
        <v>18</v>
      </c>
      <c r="C524" s="14">
        <v>2025</v>
      </c>
      <c r="D524" s="14" t="str">
        <f t="array" ref="D524">_xlfn.SWITCH(E524,"Bagor","35.18.14","Sukomoro",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24" s="13" t="s">
        <v>18</v>
      </c>
      <c r="F524" s="25" t="s">
        <v>1094</v>
      </c>
      <c r="G524" s="25" t="s">
        <v>1095</v>
      </c>
      <c r="H524" s="13" t="s">
        <v>20</v>
      </c>
      <c r="I524" s="14" t="s">
        <v>1096</v>
      </c>
      <c r="J524" s="44">
        <v>80</v>
      </c>
      <c r="K524" s="45" t="s">
        <v>45</v>
      </c>
      <c r="L524" s="48">
        <v>128000000</v>
      </c>
      <c r="M524" s="46"/>
      <c r="N524" s="17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</row>
    <row r="525" spans="1:67" s="3" customFormat="1" x14ac:dyDescent="0.2">
      <c r="A525" s="14" t="s">
        <v>2986</v>
      </c>
      <c r="B525" s="14" t="s">
        <v>18</v>
      </c>
      <c r="C525" s="14">
        <v>2025</v>
      </c>
      <c r="D525" s="14" t="str">
        <f t="array" ref="D525">_xlfn.SWITCH(E525,"Jatikalen","35.18.20","Kertosono", "35.18.08","Lengkong","35.18.19","Loceret","35.18.04","Tanjunganom","35.18.11","Wilangan","35.18.15")</f>
        <v>35.18.04</v>
      </c>
      <c r="E525" s="13" t="s">
        <v>15</v>
      </c>
      <c r="F525" s="25" t="s">
        <v>1097</v>
      </c>
      <c r="G525" s="14" t="s">
        <v>1038</v>
      </c>
      <c r="H525" s="13" t="s">
        <v>20</v>
      </c>
      <c r="I525" s="50" t="s">
        <v>1098</v>
      </c>
      <c r="J525" s="47">
        <v>3000</v>
      </c>
      <c r="K525" s="51" t="s">
        <v>37</v>
      </c>
      <c r="L525" s="48">
        <v>5100000000</v>
      </c>
      <c r="M525" s="46"/>
      <c r="N525" s="17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</row>
    <row r="526" spans="1:67" s="3" customFormat="1" ht="20" x14ac:dyDescent="0.2">
      <c r="A526" s="14" t="s">
        <v>2986</v>
      </c>
      <c r="B526" s="14" t="s">
        <v>18</v>
      </c>
      <c r="C526" s="14">
        <v>2025</v>
      </c>
      <c r="D526" s="14" t="str">
        <f t="array" ref="D526">_xlfn.SWITCH(E526,"Jatikalen","35.18.20","Kertosono", "35.18.08","Lengkong","35.18.19","Loceret","35.18.04","Tanjunganom","35.18.11","Wilangan","35.18.15")</f>
        <v>35.18.11</v>
      </c>
      <c r="E526" s="13" t="s">
        <v>27</v>
      </c>
      <c r="F526" s="25" t="s">
        <v>1099</v>
      </c>
      <c r="G526" s="25" t="s">
        <v>1100</v>
      </c>
      <c r="H526" s="13" t="s">
        <v>20</v>
      </c>
      <c r="I526" s="14" t="s">
        <v>1101</v>
      </c>
      <c r="J526" s="44">
        <v>4</v>
      </c>
      <c r="K526" s="45" t="s">
        <v>1102</v>
      </c>
      <c r="L526" s="48">
        <v>60000000</v>
      </c>
      <c r="M526" s="46"/>
      <c r="N526" s="17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</row>
    <row r="527" spans="1:67" s="3" customFormat="1" ht="20" x14ac:dyDescent="0.2">
      <c r="A527" s="14" t="s">
        <v>2986</v>
      </c>
      <c r="B527" s="14" t="s">
        <v>18</v>
      </c>
      <c r="C527" s="14">
        <v>2025</v>
      </c>
      <c r="D527" s="14" t="str">
        <f t="array" ref="D527">_xlfn.SWITCH(E527,"Jatikalen","35.18.20","Kertosono", "35.18.08","Lengkong","35.18.19","Loceret","35.18.04","Tanjunganom","35.18.11","Wilangan","35.18.15")</f>
        <v>35.18.04</v>
      </c>
      <c r="E527" s="13" t="s">
        <v>15</v>
      </c>
      <c r="F527" s="25" t="s">
        <v>1103</v>
      </c>
      <c r="G527" s="25" t="s">
        <v>1104</v>
      </c>
      <c r="H527" s="13" t="s">
        <v>20</v>
      </c>
      <c r="I527" s="14" t="s">
        <v>1101</v>
      </c>
      <c r="J527" s="44">
        <v>50</v>
      </c>
      <c r="K527" s="45" t="s">
        <v>37</v>
      </c>
      <c r="L527" s="48">
        <v>500000000</v>
      </c>
      <c r="M527" s="46"/>
      <c r="N527" s="17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</row>
    <row r="528" spans="1:67" s="3" customFormat="1" x14ac:dyDescent="0.2">
      <c r="A528" s="14" t="s">
        <v>2986</v>
      </c>
      <c r="B528" s="14" t="s">
        <v>18</v>
      </c>
      <c r="C528" s="14">
        <v>2025</v>
      </c>
      <c r="D528" s="14" t="str">
        <f t="array" ref="D528">_xlfn.SWITCH(E528,"Jatikalen","35.18.20","Kertosono", "35.18.08","Lengkong","35.18.19","Loceret","35.18.04","Tanjunganom","35.18.11","Wilangan","35.18.15")</f>
        <v>35.18.11</v>
      </c>
      <c r="E528" s="13" t="s">
        <v>27</v>
      </c>
      <c r="F528" s="25" t="s">
        <v>1105</v>
      </c>
      <c r="G528" s="25" t="s">
        <v>1106</v>
      </c>
      <c r="H528" s="13" t="s">
        <v>20</v>
      </c>
      <c r="I528" s="14" t="s">
        <v>1107</v>
      </c>
      <c r="J528" s="44">
        <v>1200</v>
      </c>
      <c r="K528" s="45" t="s">
        <v>700</v>
      </c>
      <c r="L528" s="48">
        <v>360000000</v>
      </c>
      <c r="M528" s="46"/>
      <c r="N528" s="17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</row>
    <row r="529" spans="1:67" s="3" customFormat="1" ht="20" x14ac:dyDescent="0.2">
      <c r="A529" s="14" t="s">
        <v>2986</v>
      </c>
      <c r="B529" s="14" t="s">
        <v>18</v>
      </c>
      <c r="C529" s="14">
        <v>2025</v>
      </c>
      <c r="D529" s="14" t="str">
        <f t="array" ref="D529">_xlfn.SWITCH(E529,"Bagor","35.18.14","Sukomoro",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29" s="13" t="s">
        <v>35</v>
      </c>
      <c r="F529" s="25" t="s">
        <v>1108</v>
      </c>
      <c r="G529" s="25" t="s">
        <v>1109</v>
      </c>
      <c r="H529" s="13" t="s">
        <v>20</v>
      </c>
      <c r="I529" s="14" t="s">
        <v>229</v>
      </c>
      <c r="J529" s="44">
        <v>500</v>
      </c>
      <c r="K529" s="45" t="s">
        <v>87</v>
      </c>
      <c r="L529" s="48">
        <v>400000000</v>
      </c>
      <c r="M529" s="46"/>
      <c r="N529" s="17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</row>
    <row r="530" spans="1:67" s="3" customFormat="1" ht="20" x14ac:dyDescent="0.2">
      <c r="A530" s="14" t="s">
        <v>2986</v>
      </c>
      <c r="B530" s="14" t="s">
        <v>18</v>
      </c>
      <c r="C530" s="14">
        <v>2025</v>
      </c>
      <c r="D530" s="14" t="str">
        <f t="array" ref="D530">_xlfn.SWITCH(E530,"Bagor","35.18.14","Sukomoro",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30" s="13" t="s">
        <v>18</v>
      </c>
      <c r="F530" s="25" t="s">
        <v>1110</v>
      </c>
      <c r="G530" s="25" t="s">
        <v>1111</v>
      </c>
      <c r="H530" s="13" t="s">
        <v>20</v>
      </c>
      <c r="I530" s="14" t="s">
        <v>1101</v>
      </c>
      <c r="J530" s="49">
        <v>100</v>
      </c>
      <c r="K530" s="45" t="s">
        <v>37</v>
      </c>
      <c r="L530" s="48">
        <v>300000000</v>
      </c>
      <c r="M530" s="46"/>
      <c r="N530" s="17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</row>
    <row r="531" spans="1:67" s="3" customFormat="1" x14ac:dyDescent="0.2">
      <c r="A531" s="14" t="s">
        <v>2986</v>
      </c>
      <c r="B531" s="14" t="s">
        <v>18</v>
      </c>
      <c r="C531" s="14">
        <v>2025</v>
      </c>
      <c r="D531" s="14" t="str">
        <f t="array" ref="D531">_xlfn.SWITCH(E531,"Bagor","35.18.14","Sukomoro",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31" s="13" t="s">
        <v>35</v>
      </c>
      <c r="F531" s="25" t="s">
        <v>1112</v>
      </c>
      <c r="G531" s="25" t="s">
        <v>1113</v>
      </c>
      <c r="H531" s="13" t="s">
        <v>9</v>
      </c>
      <c r="I531" s="14" t="s">
        <v>1114</v>
      </c>
      <c r="J531" s="44">
        <v>10</v>
      </c>
      <c r="K531" s="45" t="s">
        <v>1102</v>
      </c>
      <c r="L531" s="48">
        <v>125000000</v>
      </c>
      <c r="M531" s="46"/>
      <c r="N531" s="17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</row>
    <row r="532" spans="1:67" s="3" customFormat="1" ht="20" x14ac:dyDescent="0.2">
      <c r="A532" s="14" t="s">
        <v>2986</v>
      </c>
      <c r="B532" s="14" t="s">
        <v>18</v>
      </c>
      <c r="C532" s="14">
        <v>2025</v>
      </c>
      <c r="D532" s="14" t="str">
        <f t="array" ref="D532">_xlfn.SWITCH(E532,"Bagor","35.18.14","Sukomoro",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2" s="13" t="s">
        <v>72</v>
      </c>
      <c r="F532" s="25" t="s">
        <v>1115</v>
      </c>
      <c r="G532" s="25" t="s">
        <v>1116</v>
      </c>
      <c r="H532" s="13" t="s">
        <v>9</v>
      </c>
      <c r="I532" s="14" t="s">
        <v>1117</v>
      </c>
      <c r="J532" s="44">
        <v>630000</v>
      </c>
      <c r="K532" s="45" t="s">
        <v>22</v>
      </c>
      <c r="L532" s="48">
        <v>315000000</v>
      </c>
      <c r="M532" s="46"/>
      <c r="N532" s="17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</row>
    <row r="533" spans="1:67" s="3" customFormat="1" x14ac:dyDescent="0.2">
      <c r="A533" s="14" t="s">
        <v>2986</v>
      </c>
      <c r="B533" s="14" t="s">
        <v>18</v>
      </c>
      <c r="C533" s="14">
        <v>2025</v>
      </c>
      <c r="D533" s="14" t="str">
        <f t="array" ref="D533">_xlfn.SWITCH(E533,"Bagor","35.18.14","Sukomoro",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33" s="13" t="s">
        <v>65</v>
      </c>
      <c r="F533" s="25" t="s">
        <v>1118</v>
      </c>
      <c r="G533" s="25" t="s">
        <v>1119</v>
      </c>
      <c r="H533" s="13"/>
      <c r="I533" s="14" t="s">
        <v>10</v>
      </c>
      <c r="J533" s="44">
        <v>3000000</v>
      </c>
      <c r="K533" s="45" t="s">
        <v>1120</v>
      </c>
      <c r="L533" s="48">
        <v>600000000</v>
      </c>
      <c r="M533" s="46"/>
      <c r="N533" s="17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</row>
    <row r="534" spans="1:67" s="3" customFormat="1" x14ac:dyDescent="0.2">
      <c r="A534" s="14" t="s">
        <v>2986</v>
      </c>
      <c r="B534" s="14" t="s">
        <v>18</v>
      </c>
      <c r="C534" s="14">
        <v>2025</v>
      </c>
      <c r="D534" s="14" t="str">
        <f t="array" ref="D534">_xlfn.SWITCH(E534,"Bagor","35.18.14","Sukomoro",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4" s="13" t="s">
        <v>72</v>
      </c>
      <c r="F534" s="25" t="s">
        <v>1121</v>
      </c>
      <c r="G534" s="25" t="s">
        <v>1122</v>
      </c>
      <c r="H534" s="13" t="s">
        <v>20</v>
      </c>
      <c r="I534" s="14" t="s">
        <v>181</v>
      </c>
      <c r="J534" s="49">
        <v>300000</v>
      </c>
      <c r="K534" s="45" t="s">
        <v>953</v>
      </c>
      <c r="L534" s="48">
        <v>600000000</v>
      </c>
      <c r="M534" s="46"/>
      <c r="N534" s="17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</row>
    <row r="535" spans="1:67" s="3" customFormat="1" ht="20" x14ac:dyDescent="0.2">
      <c r="A535" s="14" t="s">
        <v>2986</v>
      </c>
      <c r="B535" s="14" t="s">
        <v>18</v>
      </c>
      <c r="C535" s="14">
        <v>2025</v>
      </c>
      <c r="D535" s="14" t="str">
        <f t="array" ref="D535">_xlfn.SWITCH(E535,"Bagor","35.18.14","Sukomoro",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5" s="13" t="s">
        <v>72</v>
      </c>
      <c r="F535" s="25" t="s">
        <v>1123</v>
      </c>
      <c r="G535" s="25" t="s">
        <v>1124</v>
      </c>
      <c r="H535" s="13" t="s">
        <v>9</v>
      </c>
      <c r="I535" s="14" t="s">
        <v>1125</v>
      </c>
      <c r="J535" s="49">
        <v>26</v>
      </c>
      <c r="K535" s="45" t="s">
        <v>902</v>
      </c>
      <c r="L535" s="48">
        <v>31200000</v>
      </c>
      <c r="M535" s="46"/>
      <c r="N535" s="17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</row>
    <row r="536" spans="1:67" s="3" customFormat="1" x14ac:dyDescent="0.2">
      <c r="A536" s="14" t="s">
        <v>2986</v>
      </c>
      <c r="B536" s="14" t="s">
        <v>18</v>
      </c>
      <c r="C536" s="14">
        <v>2025</v>
      </c>
      <c r="D536" s="14" t="str">
        <f t="array" ref="D536">_xlfn.SWITCH(E536,"Bagor","35.18.14","Sukomoro",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6" s="13" t="s">
        <v>98</v>
      </c>
      <c r="F536" s="25" t="s">
        <v>1126</v>
      </c>
      <c r="G536" s="25" t="s">
        <v>1127</v>
      </c>
      <c r="H536" s="13" t="s">
        <v>20</v>
      </c>
      <c r="I536" s="14" t="s">
        <v>1101</v>
      </c>
      <c r="J536" s="49">
        <v>150</v>
      </c>
      <c r="K536" s="45" t="s">
        <v>1102</v>
      </c>
      <c r="L536" s="48">
        <v>750000000</v>
      </c>
      <c r="M536" s="46"/>
      <c r="N536" s="17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</row>
    <row r="537" spans="1:67" s="3" customFormat="1" x14ac:dyDescent="0.2">
      <c r="A537" s="14" t="s">
        <v>2986</v>
      </c>
      <c r="B537" s="14" t="s">
        <v>18</v>
      </c>
      <c r="C537" s="14">
        <v>2025</v>
      </c>
      <c r="D537" s="14" t="str">
        <f t="array" ref="D537">_xlfn.SWITCH(E537,"Bagor","35.18.14","Sukomoro",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7" s="13" t="s">
        <v>98</v>
      </c>
      <c r="F537" s="25" t="s">
        <v>1128</v>
      </c>
      <c r="G537" s="25" t="s">
        <v>1129</v>
      </c>
      <c r="H537" s="13" t="s">
        <v>20</v>
      </c>
      <c r="I537" s="14" t="s">
        <v>1101</v>
      </c>
      <c r="J537" s="49">
        <v>34</v>
      </c>
      <c r="K537" s="45" t="s">
        <v>1102</v>
      </c>
      <c r="L537" s="48">
        <v>340000000</v>
      </c>
      <c r="M537" s="46"/>
      <c r="N537" s="17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</row>
    <row r="538" spans="1:67" s="3" customFormat="1" x14ac:dyDescent="0.2">
      <c r="A538" s="14" t="s">
        <v>2986</v>
      </c>
      <c r="B538" s="14" t="s">
        <v>18</v>
      </c>
      <c r="C538" s="14">
        <v>2025</v>
      </c>
      <c r="D538" s="14" t="str">
        <f t="array" ref="D538">_xlfn.SWITCH(E538,"Bagor","35.18.14","Sukomoro",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38" s="13" t="s">
        <v>7</v>
      </c>
      <c r="F538" s="25" t="s">
        <v>1130</v>
      </c>
      <c r="G538" s="25" t="s">
        <v>1131</v>
      </c>
      <c r="H538" s="13" t="s">
        <v>20</v>
      </c>
      <c r="I538" s="14" t="s">
        <v>1101</v>
      </c>
      <c r="J538" s="49">
        <v>34</v>
      </c>
      <c r="K538" s="45" t="s">
        <v>1102</v>
      </c>
      <c r="L538" s="48">
        <v>272000000</v>
      </c>
      <c r="M538" s="46"/>
      <c r="N538" s="17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</row>
    <row r="539" spans="1:67" s="3" customFormat="1" x14ac:dyDescent="0.2">
      <c r="A539" s="14" t="s">
        <v>2986</v>
      </c>
      <c r="B539" s="14" t="s">
        <v>18</v>
      </c>
      <c r="C539" s="14">
        <v>2025</v>
      </c>
      <c r="D539" s="14" t="str">
        <f t="array" ref="D539">_xlfn.SWITCH(E539,"Bagor","35.18.14","Sukomoro",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39" s="13" t="s">
        <v>24</v>
      </c>
      <c r="F539" s="25" t="s">
        <v>1132</v>
      </c>
      <c r="G539" s="25" t="s">
        <v>1133</v>
      </c>
      <c r="H539" s="13" t="s">
        <v>20</v>
      </c>
      <c r="I539" s="14" t="s">
        <v>1101</v>
      </c>
      <c r="J539" s="49">
        <v>30</v>
      </c>
      <c r="K539" s="45" t="s">
        <v>1102</v>
      </c>
      <c r="L539" s="48">
        <v>240000000</v>
      </c>
      <c r="M539" s="46"/>
      <c r="N539" s="17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</row>
    <row r="540" spans="1:67" s="3" customFormat="1" x14ac:dyDescent="0.2">
      <c r="A540" s="14" t="s">
        <v>2986</v>
      </c>
      <c r="B540" s="14" t="s">
        <v>18</v>
      </c>
      <c r="C540" s="14">
        <v>2025</v>
      </c>
      <c r="D540" s="14" t="str">
        <f t="array" ref="D540">_xlfn.SWITCH(E540,"Jatikalen","35.18.20","Kertosono", "35.18.08","Lengkong","35.18.19","Loceret","35.18.04","Tanjunganom","35.18.11","Wilangan","35.18.15")</f>
        <v>35.18.19</v>
      </c>
      <c r="E540" s="13" t="s">
        <v>30</v>
      </c>
      <c r="F540" s="25" t="s">
        <v>1134</v>
      </c>
      <c r="G540" s="25" t="s">
        <v>1135</v>
      </c>
      <c r="H540" s="13" t="s">
        <v>20</v>
      </c>
      <c r="I540" s="14" t="s">
        <v>1101</v>
      </c>
      <c r="J540" s="49">
        <v>30</v>
      </c>
      <c r="K540" s="45" t="s">
        <v>1102</v>
      </c>
      <c r="L540" s="48">
        <v>270000000</v>
      </c>
      <c r="M540" s="46"/>
      <c r="N540" s="17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</row>
    <row r="541" spans="1:67" s="3" customFormat="1" x14ac:dyDescent="0.2">
      <c r="A541" s="14" t="s">
        <v>2986</v>
      </c>
      <c r="B541" s="14" t="s">
        <v>18</v>
      </c>
      <c r="C541" s="14">
        <v>2025</v>
      </c>
      <c r="D541" s="14" t="str">
        <f t="array" ref="D541">_xlfn.SWITCH(E541,"Jatikalen","35.18.20","Kertosono", "35.18.08","Lengkong","35.18.19","Loceret","35.18.04","Tanjunganom","35.18.11","Wilangan","35.18.15")</f>
        <v>35.18.04</v>
      </c>
      <c r="E541" s="13" t="s">
        <v>15</v>
      </c>
      <c r="F541" s="25" t="s">
        <v>1136</v>
      </c>
      <c r="G541" s="25" t="s">
        <v>1137</v>
      </c>
      <c r="H541" s="13" t="s">
        <v>20</v>
      </c>
      <c r="I541" s="14" t="s">
        <v>114</v>
      </c>
      <c r="J541" s="49">
        <v>63408</v>
      </c>
      <c r="K541" s="45" t="s">
        <v>700</v>
      </c>
      <c r="L541" s="48">
        <v>317040000</v>
      </c>
      <c r="M541" s="46"/>
      <c r="N541" s="17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</row>
    <row r="542" spans="1:67" s="3" customFormat="1" x14ac:dyDescent="0.2">
      <c r="A542" s="14" t="s">
        <v>2986</v>
      </c>
      <c r="B542" s="14" t="s">
        <v>18</v>
      </c>
      <c r="C542" s="14">
        <v>2025</v>
      </c>
      <c r="D542" s="14" t="str">
        <f t="array" ref="D542">_xlfn.SWITCH(E542,"Bagor","35.18.14","Sukomoro",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42" s="13" t="s">
        <v>57</v>
      </c>
      <c r="F542" s="25" t="s">
        <v>1138</v>
      </c>
      <c r="G542" s="25" t="s">
        <v>1139</v>
      </c>
      <c r="H542" s="13"/>
      <c r="I542" s="14" t="s">
        <v>10</v>
      </c>
      <c r="J542" s="49">
        <v>1000000</v>
      </c>
      <c r="K542" s="45" t="s">
        <v>1120</v>
      </c>
      <c r="L542" s="22">
        <v>250000000</v>
      </c>
      <c r="M542" s="46"/>
      <c r="N542" s="17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</row>
    <row r="543" spans="1:67" s="3" customFormat="1" x14ac:dyDescent="0.2">
      <c r="A543" s="14" t="s">
        <v>2986</v>
      </c>
      <c r="B543" s="14" t="s">
        <v>18</v>
      </c>
      <c r="C543" s="14">
        <v>2025</v>
      </c>
      <c r="D543" s="14" t="str">
        <f t="array" ref="D543">_xlfn.SWITCH(E543,"Jatikalen","35.18.20","Kertosono", "35.18.08","Lengkong","35.18.19","Loceret","35.18.04","Tanjunganom","35.18.11","Wilangan","35.18.15")</f>
        <v>35.18.11</v>
      </c>
      <c r="E543" s="13" t="s">
        <v>27</v>
      </c>
      <c r="F543" s="25" t="s">
        <v>1140</v>
      </c>
      <c r="G543" s="25" t="s">
        <v>1141</v>
      </c>
      <c r="H543" s="13" t="s">
        <v>20</v>
      </c>
      <c r="I543" s="14" t="s">
        <v>1142</v>
      </c>
      <c r="J543" s="49">
        <v>30</v>
      </c>
      <c r="K543" s="45" t="s">
        <v>45</v>
      </c>
      <c r="L543" s="22">
        <v>60000000</v>
      </c>
      <c r="M543" s="46"/>
      <c r="N543" s="17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</row>
    <row r="544" spans="1:67" s="3" customFormat="1" ht="20" x14ac:dyDescent="0.2">
      <c r="A544" s="14" t="s">
        <v>2986</v>
      </c>
      <c r="B544" s="14" t="s">
        <v>18</v>
      </c>
      <c r="C544" s="14">
        <v>2025</v>
      </c>
      <c r="D544" s="14" t="str">
        <f t="array" ref="D544">_xlfn.SWITCH(E544,"Bagor","35.18.14","Sukomoro",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44" s="13" t="s">
        <v>18</v>
      </c>
      <c r="F544" s="25" t="s">
        <v>1143</v>
      </c>
      <c r="G544" s="25" t="s">
        <v>1144</v>
      </c>
      <c r="H544" s="13" t="s">
        <v>9</v>
      </c>
      <c r="I544" s="14" t="s">
        <v>1035</v>
      </c>
      <c r="J544" s="49">
        <v>12</v>
      </c>
      <c r="K544" s="45" t="s">
        <v>45</v>
      </c>
      <c r="L544" s="22">
        <v>120000000</v>
      </c>
      <c r="M544" s="46"/>
      <c r="N544" s="17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</row>
    <row r="545" spans="1:67" s="3" customFormat="1" x14ac:dyDescent="0.2">
      <c r="A545" s="14" t="s">
        <v>2986</v>
      </c>
      <c r="B545" s="14" t="s">
        <v>18</v>
      </c>
      <c r="C545" s="14">
        <v>2025</v>
      </c>
      <c r="D545" s="14" t="str">
        <f t="array" ref="D545">_xlfn.SWITCH(E545,"Bagor","35.18.14","Sukomoro",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45" s="13" t="s">
        <v>50</v>
      </c>
      <c r="F545" s="25" t="s">
        <v>1145</v>
      </c>
      <c r="G545" s="25" t="s">
        <v>1146</v>
      </c>
      <c r="H545" s="13" t="s">
        <v>20</v>
      </c>
      <c r="I545" s="14" t="s">
        <v>1101</v>
      </c>
      <c r="J545" s="49">
        <v>40</v>
      </c>
      <c r="K545" s="45" t="s">
        <v>37</v>
      </c>
      <c r="L545" s="22">
        <v>400000000</v>
      </c>
      <c r="M545" s="46"/>
      <c r="N545" s="17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</row>
    <row r="546" spans="1:67" s="3" customFormat="1" ht="20" x14ac:dyDescent="0.2">
      <c r="A546" s="14" t="s">
        <v>2986</v>
      </c>
      <c r="B546" s="14" t="s">
        <v>18</v>
      </c>
      <c r="C546" s="14">
        <v>2025</v>
      </c>
      <c r="D546" s="14" t="str">
        <f t="array" ref="D546">_xlfn.SWITCH(E546,"Jatikalen","35.18.20","Kertosono", "35.18.08","Lengkong","35.18.19","Loceret","35.18.04","Tanjunganom","35.18.11","Wilangan","35.18.15")</f>
        <v>35.18.19</v>
      </c>
      <c r="E546" s="13" t="s">
        <v>30</v>
      </c>
      <c r="F546" s="25" t="s">
        <v>1147</v>
      </c>
      <c r="G546" s="25" t="s">
        <v>1148</v>
      </c>
      <c r="H546" s="13" t="s">
        <v>20</v>
      </c>
      <c r="I546" s="14" t="s">
        <v>1101</v>
      </c>
      <c r="J546" s="49">
        <v>3</v>
      </c>
      <c r="K546" s="45" t="s">
        <v>1102</v>
      </c>
      <c r="L546" s="22">
        <v>27000000</v>
      </c>
      <c r="M546" s="46"/>
      <c r="N546" s="17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</row>
    <row r="547" spans="1:67" s="3" customFormat="1" x14ac:dyDescent="0.2">
      <c r="A547" s="14" t="s">
        <v>2986</v>
      </c>
      <c r="B547" s="14" t="s">
        <v>18</v>
      </c>
      <c r="C547" s="14">
        <v>2025</v>
      </c>
      <c r="D547" s="14" t="str">
        <f t="array" ref="D547">_xlfn.SWITCH(E547,"Bagor","35.18.14","Sukomoro",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47" s="13" t="s">
        <v>119</v>
      </c>
      <c r="F547" s="25" t="s">
        <v>1149</v>
      </c>
      <c r="G547" s="25" t="s">
        <v>1150</v>
      </c>
      <c r="H547" s="13" t="s">
        <v>20</v>
      </c>
      <c r="I547" s="14" t="s">
        <v>1101</v>
      </c>
      <c r="J547" s="49">
        <v>40</v>
      </c>
      <c r="K547" s="45" t="s">
        <v>1057</v>
      </c>
      <c r="L547" s="22">
        <v>320000000</v>
      </c>
      <c r="M547" s="46"/>
      <c r="N547" s="17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</row>
    <row r="548" spans="1:67" s="3" customFormat="1" ht="20" x14ac:dyDescent="0.2">
      <c r="A548" s="14" t="s">
        <v>2986</v>
      </c>
      <c r="B548" s="14" t="s">
        <v>18</v>
      </c>
      <c r="C548" s="14">
        <v>2025</v>
      </c>
      <c r="D548" s="14" t="str">
        <f t="array" ref="D548">_xlfn.SWITCH(E548,"Bagor","35.18.14","Sukomoro",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8" s="13" t="s">
        <v>72</v>
      </c>
      <c r="F548" s="25" t="s">
        <v>1151</v>
      </c>
      <c r="G548" s="25" t="s">
        <v>1152</v>
      </c>
      <c r="H548" s="13" t="s">
        <v>20</v>
      </c>
      <c r="I548" s="14" t="s">
        <v>1101</v>
      </c>
      <c r="J548" s="49">
        <v>3</v>
      </c>
      <c r="K548" s="45" t="s">
        <v>1102</v>
      </c>
      <c r="L548" s="22">
        <v>24000000</v>
      </c>
      <c r="M548" s="46"/>
      <c r="N548" s="17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</row>
    <row r="549" spans="1:67" s="3" customFormat="1" ht="20" x14ac:dyDescent="0.2">
      <c r="A549" s="14" t="s">
        <v>2986</v>
      </c>
      <c r="B549" s="14" t="s">
        <v>18</v>
      </c>
      <c r="C549" s="14">
        <v>2025</v>
      </c>
      <c r="D549" s="14" t="str">
        <f t="array" ref="D549">_xlfn.SWITCH(E549,"Bagor","35.18.14","Sukomoro",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9" s="13" t="s">
        <v>72</v>
      </c>
      <c r="F549" s="25" t="s">
        <v>1153</v>
      </c>
      <c r="G549" s="25" t="s">
        <v>1154</v>
      </c>
      <c r="H549" s="13" t="s">
        <v>20</v>
      </c>
      <c r="I549" s="14" t="s">
        <v>1101</v>
      </c>
      <c r="J549" s="49">
        <v>36</v>
      </c>
      <c r="K549" s="45" t="s">
        <v>37</v>
      </c>
      <c r="L549" s="22">
        <v>360000000</v>
      </c>
      <c r="M549" s="46"/>
      <c r="N549" s="17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</row>
    <row r="550" spans="1:67" s="3" customFormat="1" ht="20" x14ac:dyDescent="0.2">
      <c r="A550" s="14" t="s">
        <v>2986</v>
      </c>
      <c r="B550" s="14" t="s">
        <v>18</v>
      </c>
      <c r="C550" s="14">
        <v>2025</v>
      </c>
      <c r="D550" s="14" t="str">
        <f t="array" ref="D550">_xlfn.SWITCH(E550,"Bagor","35.18.14","Sukomoro",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0" s="13" t="s">
        <v>84</v>
      </c>
      <c r="F550" s="25" t="s">
        <v>1155</v>
      </c>
      <c r="G550" s="25" t="s">
        <v>1156</v>
      </c>
      <c r="H550" s="13" t="s">
        <v>9</v>
      </c>
      <c r="I550" s="14" t="s">
        <v>114</v>
      </c>
      <c r="J550" s="49">
        <v>51000</v>
      </c>
      <c r="K550" s="45" t="s">
        <v>700</v>
      </c>
      <c r="L550" s="22">
        <v>255000000</v>
      </c>
      <c r="M550" s="46"/>
      <c r="N550" s="17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</row>
    <row r="551" spans="1:67" s="3" customFormat="1" ht="20" x14ac:dyDescent="0.2">
      <c r="A551" s="14" t="s">
        <v>2986</v>
      </c>
      <c r="B551" s="14" t="s">
        <v>18</v>
      </c>
      <c r="C551" s="14">
        <v>2025</v>
      </c>
      <c r="D551" s="14" t="str">
        <f t="array" ref="D551">_xlfn.SWITCH(E551,"Bagor","35.18.14","Sukomoro",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1" s="13" t="s">
        <v>84</v>
      </c>
      <c r="F551" s="25" t="s">
        <v>1155</v>
      </c>
      <c r="G551" s="25" t="s">
        <v>1157</v>
      </c>
      <c r="H551" s="13" t="s">
        <v>9</v>
      </c>
      <c r="I551" s="25" t="s">
        <v>1071</v>
      </c>
      <c r="J551" s="49">
        <v>11500</v>
      </c>
      <c r="K551" s="45" t="s">
        <v>217</v>
      </c>
      <c r="L551" s="22">
        <v>29900000</v>
      </c>
      <c r="M551" s="46"/>
      <c r="N551" s="17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</row>
    <row r="552" spans="1:67" s="3" customFormat="1" ht="20" x14ac:dyDescent="0.2">
      <c r="A552" s="14" t="s">
        <v>2986</v>
      </c>
      <c r="B552" s="14" t="s">
        <v>18</v>
      </c>
      <c r="C552" s="14">
        <v>2025</v>
      </c>
      <c r="D552" s="14" t="str">
        <f t="array" ref="D552">_xlfn.SWITCH(E552,"Bagor","35.18.14","Sukomoro",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2" s="13" t="s">
        <v>84</v>
      </c>
      <c r="F552" s="25" t="s">
        <v>1158</v>
      </c>
      <c r="G552" s="25" t="s">
        <v>1159</v>
      </c>
      <c r="H552" s="13" t="s">
        <v>9</v>
      </c>
      <c r="I552" s="25" t="s">
        <v>1025</v>
      </c>
      <c r="J552" s="49">
        <v>2110</v>
      </c>
      <c r="K552" s="45" t="s">
        <v>953</v>
      </c>
      <c r="L552" s="22">
        <v>3165000</v>
      </c>
      <c r="M552" s="46"/>
      <c r="N552" s="17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</row>
    <row r="553" spans="1:67" s="3" customFormat="1" x14ac:dyDescent="0.2">
      <c r="A553" s="14" t="s">
        <v>2986</v>
      </c>
      <c r="B553" s="14" t="s">
        <v>18</v>
      </c>
      <c r="C553" s="14">
        <v>2025</v>
      </c>
      <c r="D553" s="14" t="str">
        <f t="array" ref="D553">_xlfn.SWITCH(E553,"Jatikalen","35.18.20","Kertosono", "35.18.08","Lengkong","35.18.19","Loceret","35.18.04","Tanjunganom","35.18.11","Wilangan","35.18.15")</f>
        <v>35.18.19</v>
      </c>
      <c r="E553" s="13" t="s">
        <v>30</v>
      </c>
      <c r="F553" s="25" t="s">
        <v>1160</v>
      </c>
      <c r="G553" s="25" t="s">
        <v>1161</v>
      </c>
      <c r="H553" s="13" t="s">
        <v>9</v>
      </c>
      <c r="I553" s="14" t="s">
        <v>1162</v>
      </c>
      <c r="J553" s="49">
        <v>750</v>
      </c>
      <c r="K553" s="45" t="s">
        <v>700</v>
      </c>
      <c r="L553" s="22">
        <v>15000000</v>
      </c>
      <c r="M553" s="46"/>
      <c r="N553" s="17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</row>
    <row r="554" spans="1:67" s="3" customFormat="1" x14ac:dyDescent="0.2">
      <c r="A554" s="14" t="s">
        <v>2986</v>
      </c>
      <c r="B554" s="14" t="s">
        <v>18</v>
      </c>
      <c r="C554" s="14">
        <v>2025</v>
      </c>
      <c r="D554" s="14" t="str">
        <f t="array" ref="D554">_xlfn.SWITCH(E554,"Jatikalen","35.18.20","Kertosono", "35.18.08","Lengkong","35.18.19","Loceret","35.18.04","Tanjunganom","35.18.11","Wilangan","35.18.15")</f>
        <v>35.18.19</v>
      </c>
      <c r="E554" s="13" t="s">
        <v>30</v>
      </c>
      <c r="F554" s="25" t="s">
        <v>1163</v>
      </c>
      <c r="G554" s="25" t="s">
        <v>1164</v>
      </c>
      <c r="H554" s="13" t="s">
        <v>9</v>
      </c>
      <c r="I554" s="14" t="s">
        <v>690</v>
      </c>
      <c r="J554" s="49">
        <v>2000</v>
      </c>
      <c r="K554" s="45" t="s">
        <v>700</v>
      </c>
      <c r="L554" s="22">
        <v>290000000</v>
      </c>
      <c r="M554" s="46"/>
      <c r="N554" s="17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</row>
    <row r="555" spans="1:67" s="3" customFormat="1" x14ac:dyDescent="0.2">
      <c r="A555" s="14" t="s">
        <v>2986</v>
      </c>
      <c r="B555" s="14" t="s">
        <v>18</v>
      </c>
      <c r="C555" s="14">
        <v>2025</v>
      </c>
      <c r="D555" s="14" t="str">
        <f t="array" ref="D555">_xlfn.SWITCH(E555,"Bagor","35.18.14","Sukomoro",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5" s="13" t="s">
        <v>98</v>
      </c>
      <c r="F555" s="25" t="s">
        <v>1165</v>
      </c>
      <c r="G555" s="25" t="s">
        <v>1166</v>
      </c>
      <c r="H555" s="13" t="s">
        <v>9</v>
      </c>
      <c r="I555" s="14" t="s">
        <v>1101</v>
      </c>
      <c r="J555" s="49">
        <v>400</v>
      </c>
      <c r="K555" s="45" t="s">
        <v>1057</v>
      </c>
      <c r="L555" s="22">
        <v>105000000</v>
      </c>
      <c r="M555" s="46"/>
      <c r="N555" s="17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</row>
    <row r="556" spans="1:67" s="3" customFormat="1" ht="20" x14ac:dyDescent="0.2">
      <c r="A556" s="14" t="s">
        <v>2986</v>
      </c>
      <c r="B556" s="14" t="s">
        <v>18</v>
      </c>
      <c r="C556" s="14">
        <v>2025</v>
      </c>
      <c r="D556" s="14" t="str">
        <f t="array" ref="D556">_xlfn.SWITCH(E556,"Bagor","35.18.14","Sukomoro",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56" s="13" t="s">
        <v>24</v>
      </c>
      <c r="F556" s="25" t="s">
        <v>1167</v>
      </c>
      <c r="G556" s="25" t="s">
        <v>1168</v>
      </c>
      <c r="H556" s="13" t="s">
        <v>9</v>
      </c>
      <c r="I556" s="14" t="s">
        <v>1169</v>
      </c>
      <c r="J556" s="49">
        <v>700</v>
      </c>
      <c r="K556" s="45" t="s">
        <v>148</v>
      </c>
      <c r="L556" s="48">
        <v>49000000</v>
      </c>
      <c r="M556" s="46"/>
      <c r="N556" s="17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</row>
    <row r="557" spans="1:67" s="3" customFormat="1" x14ac:dyDescent="0.2">
      <c r="A557" s="14" t="s">
        <v>2986</v>
      </c>
      <c r="B557" s="14" t="s">
        <v>18</v>
      </c>
      <c r="C557" s="14">
        <v>2025</v>
      </c>
      <c r="D557" s="14" t="str">
        <f t="array" ref="D557">_xlfn.SWITCH(E557,"Bagor","35.18.14","Sukomoro",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57" s="13" t="s">
        <v>119</v>
      </c>
      <c r="F557" s="25" t="s">
        <v>1170</v>
      </c>
      <c r="G557" s="25" t="s">
        <v>1171</v>
      </c>
      <c r="H557" s="13" t="s">
        <v>9</v>
      </c>
      <c r="I557" s="14" t="s">
        <v>1172</v>
      </c>
      <c r="J557" s="49">
        <v>3</v>
      </c>
      <c r="K557" s="45" t="s">
        <v>730</v>
      </c>
      <c r="L557" s="48">
        <v>27000000</v>
      </c>
      <c r="M557" s="46"/>
      <c r="N557" s="17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</row>
    <row r="558" spans="1:67" s="3" customFormat="1" x14ac:dyDescent="0.2">
      <c r="A558" s="14" t="s">
        <v>2986</v>
      </c>
      <c r="B558" s="14" t="s">
        <v>18</v>
      </c>
      <c r="C558" s="14">
        <v>2025</v>
      </c>
      <c r="D558" s="14" t="str">
        <f t="array" ref="D558">_xlfn.SWITCH(E558,"Bagor","35.18.14","Sukomoro",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8" s="13" t="s">
        <v>98</v>
      </c>
      <c r="F558" s="25" t="s">
        <v>1128</v>
      </c>
      <c r="G558" s="25" t="s">
        <v>1173</v>
      </c>
      <c r="H558" s="13" t="s">
        <v>20</v>
      </c>
      <c r="I558" s="14" t="s">
        <v>1172</v>
      </c>
      <c r="J558" s="49">
        <v>5000</v>
      </c>
      <c r="K558" s="45" t="s">
        <v>700</v>
      </c>
      <c r="L558" s="48">
        <v>45000000</v>
      </c>
      <c r="M558" s="46"/>
      <c r="N558" s="17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</row>
    <row r="559" spans="1:67" s="3" customFormat="1" x14ac:dyDescent="0.2">
      <c r="A559" s="14" t="s">
        <v>2986</v>
      </c>
      <c r="B559" s="14" t="s">
        <v>18</v>
      </c>
      <c r="C559" s="14">
        <v>2025</v>
      </c>
      <c r="D559" s="14" t="str">
        <f t="array" ref="D559">_xlfn.SWITCH(E559,"Bagor","35.18.14","Sukomoro",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59" s="13" t="s">
        <v>35</v>
      </c>
      <c r="F559" s="25" t="s">
        <v>1174</v>
      </c>
      <c r="G559" s="25" t="s">
        <v>1175</v>
      </c>
      <c r="H559" s="13" t="s">
        <v>9</v>
      </c>
      <c r="I559" s="14" t="s">
        <v>114</v>
      </c>
      <c r="J559" s="49">
        <v>80</v>
      </c>
      <c r="K559" s="45" t="s">
        <v>902</v>
      </c>
      <c r="L559" s="48">
        <v>72000000</v>
      </c>
      <c r="M559" s="46"/>
      <c r="N559" s="17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</row>
    <row r="560" spans="1:67" s="3" customFormat="1" ht="20" x14ac:dyDescent="0.2">
      <c r="A560" s="14" t="s">
        <v>2986</v>
      </c>
      <c r="B560" s="14" t="s">
        <v>18</v>
      </c>
      <c r="C560" s="14">
        <v>2025</v>
      </c>
      <c r="D560" s="14" t="str">
        <f t="array" ref="D560">_xlfn.SWITCH(E560,"Jatikalen","35.18.20","Kertosono", "35.18.08","Lengkong","35.18.19","Loceret","35.18.04","Tanjunganom","35.18.11","Wilangan","35.18.15")</f>
        <v>35.18.04</v>
      </c>
      <c r="E560" s="13" t="s">
        <v>15</v>
      </c>
      <c r="F560" s="25" t="s">
        <v>1176</v>
      </c>
      <c r="G560" s="25" t="s">
        <v>1177</v>
      </c>
      <c r="H560" s="13" t="s">
        <v>9</v>
      </c>
      <c r="I560" s="14" t="s">
        <v>1178</v>
      </c>
      <c r="J560" s="49">
        <v>1050</v>
      </c>
      <c r="K560" s="45" t="s">
        <v>1179</v>
      </c>
      <c r="L560" s="48">
        <v>52500000</v>
      </c>
      <c r="M560" s="46"/>
      <c r="N560" s="17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</row>
    <row r="561" spans="1:67" s="3" customFormat="1" ht="20" x14ac:dyDescent="0.2">
      <c r="A561" s="14" t="s">
        <v>2986</v>
      </c>
      <c r="B561" s="14" t="s">
        <v>18</v>
      </c>
      <c r="C561" s="14">
        <v>2025</v>
      </c>
      <c r="D561" s="14" t="str">
        <f t="array" ref="D561">_xlfn.SWITCH(E561,"Bagor","35.18.14","Sukomoro",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61" s="13" t="s">
        <v>35</v>
      </c>
      <c r="F561" s="25" t="s">
        <v>1180</v>
      </c>
      <c r="G561" s="25" t="s">
        <v>1181</v>
      </c>
      <c r="H561" s="13" t="s">
        <v>9</v>
      </c>
      <c r="I561" s="14" t="s">
        <v>1182</v>
      </c>
      <c r="J561" s="49">
        <v>4000</v>
      </c>
      <c r="K561" s="45" t="s">
        <v>87</v>
      </c>
      <c r="L561" s="48">
        <f>J561*25000</f>
        <v>100000000</v>
      </c>
      <c r="M561" s="46"/>
      <c r="N561" s="17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</row>
    <row r="562" spans="1:67" s="3" customFormat="1" x14ac:dyDescent="0.2">
      <c r="A562" s="14" t="s">
        <v>2986</v>
      </c>
      <c r="B562" s="14" t="s">
        <v>18</v>
      </c>
      <c r="C562" s="14">
        <v>2025</v>
      </c>
      <c r="D562" s="14" t="str">
        <f t="array" ref="D562">_xlfn.SWITCH(E562,"Jatikalen","35.18.20","Kertosono", "35.18.08","Lengkong","35.18.19","Loceret","35.18.04","Tanjunganom","35.18.11","Wilangan","35.18.15")</f>
        <v>35.18.04</v>
      </c>
      <c r="E562" s="13" t="s">
        <v>15</v>
      </c>
      <c r="F562" s="25" t="s">
        <v>1183</v>
      </c>
      <c r="G562" s="25" t="s">
        <v>1184</v>
      </c>
      <c r="H562" s="13" t="s">
        <v>9</v>
      </c>
      <c r="I562" s="14" t="s">
        <v>1185</v>
      </c>
      <c r="J562" s="49">
        <v>1240</v>
      </c>
      <c r="K562" s="45" t="s">
        <v>1186</v>
      </c>
      <c r="L562" s="22">
        <v>43400000</v>
      </c>
      <c r="M562" s="46"/>
      <c r="N562" s="17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</row>
    <row r="563" spans="1:67" s="3" customFormat="1" x14ac:dyDescent="0.2">
      <c r="A563" s="14" t="s">
        <v>2986</v>
      </c>
      <c r="B563" s="14" t="s">
        <v>18</v>
      </c>
      <c r="C563" s="14">
        <v>2025</v>
      </c>
      <c r="D563" s="14" t="str">
        <f t="array" ref="D563">_xlfn.SWITCH(E563,"Bagor","35.18.14","Sukomoro",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63" s="13" t="s">
        <v>7</v>
      </c>
      <c r="F563" s="25" t="s">
        <v>1187</v>
      </c>
      <c r="G563" s="25" t="s">
        <v>1188</v>
      </c>
      <c r="H563" s="13" t="s">
        <v>9</v>
      </c>
      <c r="I563" s="14" t="s">
        <v>823</v>
      </c>
      <c r="J563" s="49">
        <v>7200</v>
      </c>
      <c r="K563" s="45" t="s">
        <v>700</v>
      </c>
      <c r="L563" s="22">
        <v>61200000</v>
      </c>
      <c r="M563" s="46"/>
      <c r="N563" s="17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</row>
    <row r="564" spans="1:67" s="3" customFormat="1" x14ac:dyDescent="0.2">
      <c r="A564" s="14" t="s">
        <v>2986</v>
      </c>
      <c r="B564" s="14" t="s">
        <v>18</v>
      </c>
      <c r="C564" s="14">
        <v>2025</v>
      </c>
      <c r="D564" s="14" t="str">
        <f t="array" ref="D564">_xlfn.SWITCH(E564,"Jatikalen","35.18.20","Kertosono", "35.18.08","Lengkong","35.18.19","Loceret","35.18.04","Tanjunganom","35.18.11","Wilangan","35.18.15")</f>
        <v>35.18.11</v>
      </c>
      <c r="E564" s="13" t="s">
        <v>27</v>
      </c>
      <c r="F564" s="25" t="s">
        <v>1189</v>
      </c>
      <c r="G564" s="25" t="s">
        <v>1190</v>
      </c>
      <c r="H564" s="13" t="s">
        <v>9</v>
      </c>
      <c r="I564" s="14" t="s">
        <v>823</v>
      </c>
      <c r="J564" s="49">
        <v>9000</v>
      </c>
      <c r="K564" s="45" t="s">
        <v>700</v>
      </c>
      <c r="L564" s="22">
        <v>76500000</v>
      </c>
      <c r="M564" s="46"/>
      <c r="N564" s="17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</row>
    <row r="565" spans="1:67" s="3" customFormat="1" x14ac:dyDescent="0.2">
      <c r="A565" s="14" t="s">
        <v>2986</v>
      </c>
      <c r="B565" s="14" t="s">
        <v>18</v>
      </c>
      <c r="C565" s="14">
        <v>2025</v>
      </c>
      <c r="D565" s="14" t="str">
        <f t="array" ref="D565">_xlfn.SWITCH(E565,"Jatikalen","35.18.20","Kertosono", "35.18.08","Lengkong","35.18.19","Loceret","35.18.04","Tanjunganom","35.18.11","Wilangan","35.18.15")</f>
        <v>35.18.11</v>
      </c>
      <c r="E565" s="13" t="s">
        <v>27</v>
      </c>
      <c r="F565" s="25" t="s">
        <v>1189</v>
      </c>
      <c r="G565" s="25" t="s">
        <v>1191</v>
      </c>
      <c r="H565" s="13" t="s">
        <v>9</v>
      </c>
      <c r="I565" s="14" t="s">
        <v>823</v>
      </c>
      <c r="J565" s="49">
        <v>9000</v>
      </c>
      <c r="K565" s="45" t="s">
        <v>700</v>
      </c>
      <c r="L565" s="22">
        <v>76500000</v>
      </c>
      <c r="M565" s="46"/>
      <c r="N565" s="17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</row>
    <row r="566" spans="1:67" s="3" customFormat="1" ht="20" x14ac:dyDescent="0.2">
      <c r="A566" s="14" t="s">
        <v>2986</v>
      </c>
      <c r="B566" s="14" t="s">
        <v>18</v>
      </c>
      <c r="C566" s="14">
        <v>2025</v>
      </c>
      <c r="D566" s="14" t="str">
        <f t="array" ref="D566">_xlfn.SWITCH(E566,"Jatikalen","35.18.20","Kertosono", "35.18.08","Lengkong","35.18.19","Loceret","35.18.04","Tanjunganom","35.18.11","Wilangan","35.18.15")</f>
        <v>35.18.11</v>
      </c>
      <c r="E566" s="13" t="s">
        <v>27</v>
      </c>
      <c r="F566" s="25" t="s">
        <v>1192</v>
      </c>
      <c r="G566" s="25" t="s">
        <v>1193</v>
      </c>
      <c r="H566" s="13" t="s">
        <v>9</v>
      </c>
      <c r="I566" s="14" t="s">
        <v>109</v>
      </c>
      <c r="J566" s="49">
        <v>7200</v>
      </c>
      <c r="K566" s="45" t="s">
        <v>700</v>
      </c>
      <c r="L566" s="22">
        <v>68400000</v>
      </c>
      <c r="M566" s="46"/>
      <c r="N566" s="17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</row>
    <row r="567" spans="1:67" s="3" customFormat="1" x14ac:dyDescent="0.2">
      <c r="A567" s="14" t="s">
        <v>2986</v>
      </c>
      <c r="B567" s="14" t="s">
        <v>18</v>
      </c>
      <c r="C567" s="14">
        <v>2025</v>
      </c>
      <c r="D567" s="14" t="str">
        <f t="array" ref="D567">_xlfn.SWITCH(E567,"Bagor","35.18.14","Sukomoro",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7" s="13" t="s">
        <v>50</v>
      </c>
      <c r="F567" s="25" t="s">
        <v>1194</v>
      </c>
      <c r="G567" s="25" t="s">
        <v>1195</v>
      </c>
      <c r="H567" s="13" t="s">
        <v>9</v>
      </c>
      <c r="I567" s="14" t="s">
        <v>823</v>
      </c>
      <c r="J567" s="49">
        <v>18000</v>
      </c>
      <c r="K567" s="45" t="s">
        <v>700</v>
      </c>
      <c r="L567" s="22">
        <v>153000000</v>
      </c>
      <c r="M567" s="46"/>
      <c r="N567" s="17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</row>
    <row r="568" spans="1:67" s="3" customFormat="1" x14ac:dyDescent="0.2">
      <c r="A568" s="14" t="s">
        <v>2986</v>
      </c>
      <c r="B568" s="14" t="s">
        <v>18</v>
      </c>
      <c r="C568" s="14">
        <v>2025</v>
      </c>
      <c r="D568" s="14" t="str">
        <f t="array" ref="D568">_xlfn.SWITCH(E568,"Bagor","35.18.14","Sukomoro",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8" s="13" t="s">
        <v>50</v>
      </c>
      <c r="F568" s="25" t="s">
        <v>1194</v>
      </c>
      <c r="G568" s="25" t="s">
        <v>1196</v>
      </c>
      <c r="H568" s="13" t="s">
        <v>9</v>
      </c>
      <c r="I568" s="14" t="s">
        <v>1197</v>
      </c>
      <c r="J568" s="49">
        <v>6350</v>
      </c>
      <c r="K568" s="45" t="s">
        <v>1186</v>
      </c>
      <c r="L568" s="22">
        <v>31750000</v>
      </c>
      <c r="M568" s="46"/>
      <c r="N568" s="17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</row>
    <row r="569" spans="1:67" s="3" customFormat="1" x14ac:dyDescent="0.2">
      <c r="A569" s="14" t="s">
        <v>2986</v>
      </c>
      <c r="B569" s="14" t="s">
        <v>18</v>
      </c>
      <c r="C569" s="14">
        <v>2025</v>
      </c>
      <c r="D569" s="14" t="str">
        <f t="array" ref="D569">_xlfn.SWITCH(E569,"Bagor","35.18.14","Sukomoro",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69" s="13" t="s">
        <v>18</v>
      </c>
      <c r="F569" s="25" t="s">
        <v>1198</v>
      </c>
      <c r="G569" s="25" t="s">
        <v>1199</v>
      </c>
      <c r="H569" s="13" t="s">
        <v>9</v>
      </c>
      <c r="I569" s="14" t="s">
        <v>1200</v>
      </c>
      <c r="J569" s="49">
        <v>65</v>
      </c>
      <c r="K569" s="45" t="s">
        <v>902</v>
      </c>
      <c r="L569" s="22">
        <v>58000000</v>
      </c>
      <c r="M569" s="46"/>
      <c r="N569" s="17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</row>
    <row r="570" spans="1:67" s="3" customFormat="1" x14ac:dyDescent="0.2">
      <c r="A570" s="14" t="s">
        <v>2986</v>
      </c>
      <c r="B570" s="14" t="s">
        <v>18</v>
      </c>
      <c r="C570" s="14">
        <v>2025</v>
      </c>
      <c r="D570" s="14" t="str">
        <f t="array" ref="D570">_xlfn.SWITCH(E570,"Bagor","35.18.14","Sukomoro",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0" s="13" t="s">
        <v>18</v>
      </c>
      <c r="F570" s="25" t="s">
        <v>1201</v>
      </c>
      <c r="G570" s="25" t="s">
        <v>1202</v>
      </c>
      <c r="H570" s="13" t="s">
        <v>9</v>
      </c>
      <c r="I570" s="14" t="s">
        <v>1203</v>
      </c>
      <c r="J570" s="49">
        <v>8000</v>
      </c>
      <c r="K570" s="45" t="s">
        <v>22</v>
      </c>
      <c r="L570" s="22">
        <v>36000000</v>
      </c>
      <c r="M570" s="46"/>
      <c r="N570" s="17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</row>
    <row r="571" spans="1:67" s="3" customFormat="1" x14ac:dyDescent="0.2">
      <c r="A571" s="14" t="s">
        <v>2986</v>
      </c>
      <c r="B571" s="14" t="s">
        <v>18</v>
      </c>
      <c r="C571" s="14">
        <v>2025</v>
      </c>
      <c r="D571" s="14" t="str">
        <f t="array" ref="D571">_xlfn.SWITCH(E571,"Bagor","35.18.14","Sukomoro",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1" s="13" t="s">
        <v>18</v>
      </c>
      <c r="F571" s="25" t="s">
        <v>1204</v>
      </c>
      <c r="G571" s="25" t="s">
        <v>1205</v>
      </c>
      <c r="H571" s="13" t="s">
        <v>9</v>
      </c>
      <c r="I571" s="14" t="s">
        <v>823</v>
      </c>
      <c r="J571" s="49">
        <v>14400</v>
      </c>
      <c r="K571" s="45" t="s">
        <v>700</v>
      </c>
      <c r="L571" s="22">
        <v>122400000</v>
      </c>
      <c r="M571" s="46"/>
      <c r="N571" s="17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</row>
    <row r="572" spans="1:67" s="3" customFormat="1" x14ac:dyDescent="0.2">
      <c r="A572" s="14" t="s">
        <v>2986</v>
      </c>
      <c r="B572" s="14" t="s">
        <v>18</v>
      </c>
      <c r="C572" s="14">
        <v>2025</v>
      </c>
      <c r="D572" s="14" t="str">
        <f t="array" ref="D572">_xlfn.SWITCH(E572,"Bagor","35.18.14","Sukomoro",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2" s="13" t="s">
        <v>18</v>
      </c>
      <c r="F572" s="25" t="s">
        <v>1204</v>
      </c>
      <c r="G572" s="25" t="s">
        <v>1206</v>
      </c>
      <c r="H572" s="13" t="s">
        <v>9</v>
      </c>
      <c r="I572" s="14" t="s">
        <v>823</v>
      </c>
      <c r="J572" s="49">
        <v>14400</v>
      </c>
      <c r="K572" s="45" t="s">
        <v>700</v>
      </c>
      <c r="L572" s="22">
        <v>122400000</v>
      </c>
      <c r="M572" s="46"/>
      <c r="N572" s="17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</row>
    <row r="573" spans="1:67" s="3" customFormat="1" x14ac:dyDescent="0.2">
      <c r="A573" s="14" t="s">
        <v>2986</v>
      </c>
      <c r="B573" s="14" t="s">
        <v>18</v>
      </c>
      <c r="C573" s="14">
        <v>2025</v>
      </c>
      <c r="D573" s="14" t="str">
        <f t="array" ref="D573">_xlfn.SWITCH(E573,"Bagor","35.18.14","Sukomoro",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3" s="13" t="s">
        <v>18</v>
      </c>
      <c r="F573" s="25" t="s">
        <v>1204</v>
      </c>
      <c r="G573" s="25" t="s">
        <v>1207</v>
      </c>
      <c r="H573" s="13" t="s">
        <v>9</v>
      </c>
      <c r="I573" s="14" t="s">
        <v>823</v>
      </c>
      <c r="J573" s="49">
        <v>7200</v>
      </c>
      <c r="K573" s="45" t="s">
        <v>700</v>
      </c>
      <c r="L573" s="22">
        <v>61200000</v>
      </c>
      <c r="M573" s="46"/>
      <c r="N573" s="17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</row>
    <row r="574" spans="1:67" s="3" customFormat="1" x14ac:dyDescent="0.2">
      <c r="A574" s="14" t="s">
        <v>2986</v>
      </c>
      <c r="B574" s="14" t="s">
        <v>18</v>
      </c>
      <c r="C574" s="14">
        <v>2025</v>
      </c>
      <c r="D574" s="14" t="str">
        <f t="array" ref="D574">_xlfn.SWITCH(E574,"Bagor","35.18.14","Sukomoro",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4" s="13" t="s">
        <v>18</v>
      </c>
      <c r="F574" s="25" t="s">
        <v>1204</v>
      </c>
      <c r="G574" s="25" t="s">
        <v>1208</v>
      </c>
      <c r="H574" s="13" t="s">
        <v>9</v>
      </c>
      <c r="I574" s="14" t="s">
        <v>1209</v>
      </c>
      <c r="J574" s="49">
        <v>10800</v>
      </c>
      <c r="K574" s="45" t="s">
        <v>700</v>
      </c>
      <c r="L574" s="22">
        <v>91800000</v>
      </c>
      <c r="M574" s="46"/>
      <c r="N574" s="17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</row>
    <row r="575" spans="1:67" s="3" customFormat="1" x14ac:dyDescent="0.2">
      <c r="A575" s="14" t="s">
        <v>2986</v>
      </c>
      <c r="B575" s="14" t="s">
        <v>18</v>
      </c>
      <c r="C575" s="14">
        <v>2025</v>
      </c>
      <c r="D575" s="14" t="str">
        <f t="array" ref="D575">_xlfn.SWITCH(E575,"Bagor","35.18.14","Sukomoro",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5" s="13" t="s">
        <v>18</v>
      </c>
      <c r="F575" s="25" t="s">
        <v>1204</v>
      </c>
      <c r="G575" s="25" t="s">
        <v>1210</v>
      </c>
      <c r="H575" s="13" t="s">
        <v>9</v>
      </c>
      <c r="I575" s="14" t="s">
        <v>823</v>
      </c>
      <c r="J575" s="49">
        <v>10800</v>
      </c>
      <c r="K575" s="45" t="s">
        <v>700</v>
      </c>
      <c r="L575" s="22">
        <v>91800000</v>
      </c>
      <c r="M575" s="46"/>
      <c r="N575" s="17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</row>
    <row r="576" spans="1:67" s="3" customFormat="1" x14ac:dyDescent="0.2">
      <c r="A576" s="14" t="s">
        <v>2986</v>
      </c>
      <c r="B576" s="14" t="s">
        <v>18</v>
      </c>
      <c r="C576" s="14">
        <v>2025</v>
      </c>
      <c r="D576" s="14" t="str">
        <f t="array" ref="D576">_xlfn.SWITCH(E576,"Jatikalen","35.18.20","Kertosono", "35.18.08","Lengkong","35.18.19","Loceret","35.18.04","Tanjunganom","35.18.11","Wilangan","35.18.15")</f>
        <v>35.18.04</v>
      </c>
      <c r="E576" s="13" t="s">
        <v>15</v>
      </c>
      <c r="F576" s="25" t="s">
        <v>1072</v>
      </c>
      <c r="G576" s="25" t="s">
        <v>1211</v>
      </c>
      <c r="H576" s="13" t="s">
        <v>9</v>
      </c>
      <c r="I576" s="14" t="s">
        <v>823</v>
      </c>
      <c r="J576" s="49">
        <v>18.8</v>
      </c>
      <c r="K576" s="45" t="s">
        <v>45</v>
      </c>
      <c r="L576" s="22">
        <v>159800000</v>
      </c>
      <c r="M576" s="46"/>
      <c r="N576" s="17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</row>
    <row r="577" spans="1:67" s="3" customFormat="1" x14ac:dyDescent="0.2">
      <c r="A577" s="14" t="s">
        <v>2986</v>
      </c>
      <c r="B577" s="14" t="s">
        <v>18</v>
      </c>
      <c r="C577" s="14">
        <v>2025</v>
      </c>
      <c r="D577" s="14" t="str">
        <f t="array" ref="D577">_xlfn.SWITCH(E577,"Bagor","35.18.14","Sukomoro",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7" s="13" t="s">
        <v>50</v>
      </c>
      <c r="F577" s="25" t="s">
        <v>870</v>
      </c>
      <c r="G577" s="25" t="s">
        <v>1212</v>
      </c>
      <c r="H577" s="13" t="s">
        <v>9</v>
      </c>
      <c r="I577" s="14" t="s">
        <v>823</v>
      </c>
      <c r="J577" s="49">
        <v>28800</v>
      </c>
      <c r="K577" s="45" t="s">
        <v>700</v>
      </c>
      <c r="L577" s="22">
        <v>244800000</v>
      </c>
      <c r="M577" s="46"/>
      <c r="N577" s="17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</row>
    <row r="578" spans="1:67" s="3" customFormat="1" ht="20" x14ac:dyDescent="0.2">
      <c r="A578" s="14" t="s">
        <v>2986</v>
      </c>
      <c r="B578" s="14" t="s">
        <v>18</v>
      </c>
      <c r="C578" s="14">
        <v>2025</v>
      </c>
      <c r="D578" s="14" t="str">
        <f t="array" ref="D578">_xlfn.SWITCH(E578,"Bagor","35.18.14","Sukomoro",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8" s="13" t="s">
        <v>50</v>
      </c>
      <c r="F578" s="25" t="s">
        <v>1213</v>
      </c>
      <c r="G578" s="25" t="s">
        <v>1214</v>
      </c>
      <c r="H578" s="13" t="s">
        <v>9</v>
      </c>
      <c r="I578" s="14" t="s">
        <v>1215</v>
      </c>
      <c r="J578" s="49">
        <v>1440</v>
      </c>
      <c r="K578" s="13" t="s">
        <v>135</v>
      </c>
      <c r="L578" s="22">
        <v>115200000</v>
      </c>
      <c r="M578" s="46"/>
      <c r="N578" s="17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</row>
    <row r="579" spans="1:67" s="3" customFormat="1" ht="20" x14ac:dyDescent="0.2">
      <c r="A579" s="14" t="s">
        <v>2986</v>
      </c>
      <c r="B579" s="14" t="s">
        <v>18</v>
      </c>
      <c r="C579" s="14">
        <v>2025</v>
      </c>
      <c r="D579" s="14" t="str">
        <f t="array" ref="D579">_xlfn.SWITCH(E579,"Jatikalen","35.18.20","Kertosono", "35.18.08","Lengkong","35.18.19","Loceret","35.18.04","Tanjunganom","35.18.11","Wilangan","35.18.15")</f>
        <v>35.18.11</v>
      </c>
      <c r="E579" s="13" t="s">
        <v>27</v>
      </c>
      <c r="F579" s="25" t="s">
        <v>1216</v>
      </c>
      <c r="G579" s="25" t="s">
        <v>1217</v>
      </c>
      <c r="H579" s="13" t="s">
        <v>20</v>
      </c>
      <c r="I579" s="14" t="s">
        <v>1218</v>
      </c>
      <c r="J579" s="49">
        <v>300</v>
      </c>
      <c r="K579" s="13" t="s">
        <v>730</v>
      </c>
      <c r="L579" s="22">
        <v>680000000</v>
      </c>
      <c r="M579" s="46"/>
      <c r="N579" s="17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</row>
    <row r="580" spans="1:67" s="3" customFormat="1" ht="20" x14ac:dyDescent="0.2">
      <c r="A580" s="14" t="s">
        <v>2986</v>
      </c>
      <c r="B580" s="14" t="s">
        <v>18</v>
      </c>
      <c r="C580" s="14">
        <v>2025</v>
      </c>
      <c r="D580" s="14" t="str">
        <f t="array" ref="D580">_xlfn.SWITCH(E580,"Bagor","35.18.14","Sukomoro",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0" s="13" t="s">
        <v>98</v>
      </c>
      <c r="F580" s="25" t="s">
        <v>1219</v>
      </c>
      <c r="G580" s="25" t="s">
        <v>1220</v>
      </c>
      <c r="H580" s="13" t="s">
        <v>9</v>
      </c>
      <c r="I580" s="14" t="s">
        <v>1101</v>
      </c>
      <c r="J580" s="49">
        <v>36</v>
      </c>
      <c r="K580" s="13" t="s">
        <v>135</v>
      </c>
      <c r="L580" s="22">
        <v>43200000</v>
      </c>
      <c r="M580" s="46"/>
      <c r="N580" s="17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</row>
    <row r="581" spans="1:67" s="3" customFormat="1" ht="20" x14ac:dyDescent="0.2">
      <c r="A581" s="14" t="s">
        <v>2986</v>
      </c>
      <c r="B581" s="14" t="s">
        <v>18</v>
      </c>
      <c r="C581" s="14">
        <v>2025</v>
      </c>
      <c r="D581" s="14" t="str">
        <f t="array" ref="D581">_xlfn.SWITCH(E581,"Bagor","35.18.14","Sukomoro",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1" s="13" t="s">
        <v>98</v>
      </c>
      <c r="F581" s="25" t="s">
        <v>1221</v>
      </c>
      <c r="G581" s="25" t="s">
        <v>1222</v>
      </c>
      <c r="H581" s="13" t="s">
        <v>20</v>
      </c>
      <c r="I581" s="14" t="s">
        <v>1223</v>
      </c>
      <c r="J581" s="49">
        <v>72</v>
      </c>
      <c r="K581" s="13" t="s">
        <v>1224</v>
      </c>
      <c r="L581" s="22">
        <v>576000000</v>
      </c>
      <c r="M581" s="46"/>
      <c r="N581" s="17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</row>
    <row r="582" spans="1:67" s="3" customFormat="1" x14ac:dyDescent="0.2">
      <c r="A582" s="14" t="s">
        <v>2986</v>
      </c>
      <c r="B582" s="14" t="s">
        <v>18</v>
      </c>
      <c r="C582" s="14">
        <v>2025</v>
      </c>
      <c r="D582" s="14" t="str">
        <f t="array" ref="D582">_xlfn.SWITCH(E582,"Bagor","35.18.14","Sukomoro",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2" s="13" t="s">
        <v>50</v>
      </c>
      <c r="F582" s="25" t="s">
        <v>1225</v>
      </c>
      <c r="G582" s="25" t="s">
        <v>1226</v>
      </c>
      <c r="H582" s="13" t="s">
        <v>9</v>
      </c>
      <c r="I582" s="14" t="s">
        <v>36</v>
      </c>
      <c r="J582" s="49">
        <v>60</v>
      </c>
      <c r="K582" s="13" t="s">
        <v>37</v>
      </c>
      <c r="L582" s="22">
        <v>180000000</v>
      </c>
      <c r="M582" s="46"/>
      <c r="N582" s="17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</row>
    <row r="583" spans="1:67" s="3" customFormat="1" x14ac:dyDescent="0.2">
      <c r="A583" s="14" t="s">
        <v>2986</v>
      </c>
      <c r="B583" s="14" t="s">
        <v>18</v>
      </c>
      <c r="C583" s="14">
        <v>2025</v>
      </c>
      <c r="D583" s="14" t="str">
        <f t="array" ref="D583">_xlfn.SWITCH(E583,"Bagor","35.18.14","Sukomoro",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3" s="13" t="s">
        <v>65</v>
      </c>
      <c r="F583" s="25" t="s">
        <v>1227</v>
      </c>
      <c r="G583" s="25" t="s">
        <v>1228</v>
      </c>
      <c r="H583" s="13" t="s">
        <v>20</v>
      </c>
      <c r="I583" s="14" t="s">
        <v>1229</v>
      </c>
      <c r="J583" s="49">
        <v>624</v>
      </c>
      <c r="K583" s="13" t="s">
        <v>730</v>
      </c>
      <c r="L583" s="22">
        <v>405600000</v>
      </c>
      <c r="M583" s="46"/>
      <c r="N583" s="17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</row>
    <row r="584" spans="1:67" s="3" customFormat="1" ht="20" x14ac:dyDescent="0.2">
      <c r="A584" s="14" t="s">
        <v>2986</v>
      </c>
      <c r="B584" s="14" t="s">
        <v>18</v>
      </c>
      <c r="C584" s="14">
        <v>2025</v>
      </c>
      <c r="D584" s="14" t="str">
        <f t="array" ref="D584">_xlfn.SWITCH(E584,"Bagor","35.18.14","Sukomoro",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4" s="13" t="s">
        <v>65</v>
      </c>
      <c r="F584" s="25" t="s">
        <v>1230</v>
      </c>
      <c r="G584" s="25" t="s">
        <v>1231</v>
      </c>
      <c r="H584" s="13" t="s">
        <v>20</v>
      </c>
      <c r="I584" s="14" t="s">
        <v>745</v>
      </c>
      <c r="J584" s="49">
        <v>240</v>
      </c>
      <c r="K584" s="13" t="s">
        <v>730</v>
      </c>
      <c r="L584" s="22">
        <v>168000000</v>
      </c>
      <c r="M584" s="46"/>
      <c r="N584" s="17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</row>
    <row r="585" spans="1:67" s="3" customFormat="1" ht="20" x14ac:dyDescent="0.2">
      <c r="A585" s="14" t="s">
        <v>2986</v>
      </c>
      <c r="B585" s="14" t="s">
        <v>18</v>
      </c>
      <c r="C585" s="14">
        <v>2025</v>
      </c>
      <c r="D585" s="14" t="str">
        <f t="array" ref="D585">_xlfn.SWITCH(E585,"Bagor","35.18.14","Sukomoro",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5" s="13" t="s">
        <v>50</v>
      </c>
      <c r="F585" s="25" t="s">
        <v>1232</v>
      </c>
      <c r="G585" s="25" t="s">
        <v>1233</v>
      </c>
      <c r="H585" s="13" t="s">
        <v>43</v>
      </c>
      <c r="I585" s="14" t="s">
        <v>1234</v>
      </c>
      <c r="J585" s="49">
        <f>15*12</f>
        <v>180</v>
      </c>
      <c r="K585" s="13" t="s">
        <v>251</v>
      </c>
      <c r="L585" s="22">
        <v>270000000</v>
      </c>
      <c r="M585" s="46"/>
      <c r="N585" s="17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</row>
    <row r="586" spans="1:67" s="3" customFormat="1" x14ac:dyDescent="0.2">
      <c r="A586" s="14" t="s">
        <v>2986</v>
      </c>
      <c r="B586" s="14" t="s">
        <v>18</v>
      </c>
      <c r="C586" s="14">
        <v>2025</v>
      </c>
      <c r="D586" s="14" t="str">
        <f t="array" ref="D586">_xlfn.SWITCH(E586,"Bagor","35.18.14","Sukomoro",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6" s="13" t="s">
        <v>50</v>
      </c>
      <c r="F586" s="25" t="s">
        <v>1235</v>
      </c>
      <c r="G586" s="25" t="s">
        <v>1236</v>
      </c>
      <c r="H586" s="13" t="s">
        <v>9</v>
      </c>
      <c r="I586" s="14" t="s">
        <v>1098</v>
      </c>
      <c r="J586" s="49">
        <v>60</v>
      </c>
      <c r="K586" s="13" t="s">
        <v>34</v>
      </c>
      <c r="L586" s="22">
        <v>150000000</v>
      </c>
      <c r="M586" s="46"/>
      <c r="N586" s="17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</row>
    <row r="587" spans="1:67" s="3" customFormat="1" ht="20" x14ac:dyDescent="0.2">
      <c r="A587" s="14" t="s">
        <v>2986</v>
      </c>
      <c r="B587" s="14" t="s">
        <v>18</v>
      </c>
      <c r="C587" s="14">
        <v>2025</v>
      </c>
      <c r="D587" s="14" t="str">
        <f t="array" ref="D587">_xlfn.SWITCH(E587,"Bagor","35.18.14","Sukomoro",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87" s="13" t="s">
        <v>57</v>
      </c>
      <c r="F587" s="25" t="s">
        <v>1237</v>
      </c>
      <c r="G587" s="25" t="s">
        <v>1238</v>
      </c>
      <c r="H587" s="13" t="s">
        <v>9</v>
      </c>
      <c r="I587" s="14" t="s">
        <v>1239</v>
      </c>
      <c r="J587" s="49">
        <v>2060</v>
      </c>
      <c r="K587" s="13" t="s">
        <v>700</v>
      </c>
      <c r="L587" s="22">
        <v>515000000</v>
      </c>
      <c r="M587" s="46"/>
      <c r="N587" s="17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</row>
    <row r="588" spans="1:67" s="3" customFormat="1" x14ac:dyDescent="0.2">
      <c r="A588" s="14" t="s">
        <v>2986</v>
      </c>
      <c r="B588" s="14" t="s">
        <v>18</v>
      </c>
      <c r="C588" s="14">
        <v>2025</v>
      </c>
      <c r="D588" s="14" t="str">
        <f t="array" ref="D588">_xlfn.SWITCH(E588,"Bagor","35.18.14","Sukomoro",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8" s="13" t="s">
        <v>35</v>
      </c>
      <c r="F588" s="25" t="s">
        <v>1240</v>
      </c>
      <c r="G588" s="25" t="s">
        <v>1241</v>
      </c>
      <c r="H588" s="13" t="s">
        <v>9</v>
      </c>
      <c r="I588" s="14" t="s">
        <v>229</v>
      </c>
      <c r="J588" s="49">
        <f>24*26*12</f>
        <v>7488</v>
      </c>
      <c r="K588" s="13" t="s">
        <v>700</v>
      </c>
      <c r="L588" s="22">
        <v>771264000</v>
      </c>
      <c r="M588" s="46"/>
      <c r="N588" s="17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</row>
    <row r="589" spans="1:67" s="3" customFormat="1" x14ac:dyDescent="0.2">
      <c r="A589" s="14" t="s">
        <v>2986</v>
      </c>
      <c r="B589" s="14" t="s">
        <v>18</v>
      </c>
      <c r="C589" s="14">
        <v>2025</v>
      </c>
      <c r="D589" s="14" t="str">
        <f t="array" ref="D589">_xlfn.SWITCH(E589,"Bagor","35.18.14","Sukomoro",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9" s="13" t="s">
        <v>35</v>
      </c>
      <c r="F589" s="25" t="s">
        <v>1240</v>
      </c>
      <c r="G589" s="25" t="s">
        <v>1242</v>
      </c>
      <c r="H589" s="13" t="s">
        <v>20</v>
      </c>
      <c r="I589" s="14" t="s">
        <v>36</v>
      </c>
      <c r="J589" s="49">
        <v>20</v>
      </c>
      <c r="K589" s="13" t="s">
        <v>34</v>
      </c>
      <c r="L589" s="22">
        <v>40000000</v>
      </c>
      <c r="M589" s="46"/>
      <c r="N589" s="17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</row>
    <row r="590" spans="1:67" s="3" customFormat="1" x14ac:dyDescent="0.2">
      <c r="A590" s="14" t="s">
        <v>2986</v>
      </c>
      <c r="B590" s="14" t="s">
        <v>18</v>
      </c>
      <c r="C590" s="14">
        <v>2025</v>
      </c>
      <c r="D590" s="14" t="str">
        <f t="array" ref="D590">_xlfn.SWITCH(E590,"Bagor","35.18.14","Sukomoro",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0" s="13" t="s">
        <v>35</v>
      </c>
      <c r="F590" s="25" t="s">
        <v>1243</v>
      </c>
      <c r="G590" s="25" t="s">
        <v>1244</v>
      </c>
      <c r="H590" s="13" t="s">
        <v>9</v>
      </c>
      <c r="I590" s="14" t="s">
        <v>229</v>
      </c>
      <c r="J590" s="49">
        <f>22*26*12</f>
        <v>6864</v>
      </c>
      <c r="K590" s="13" t="s">
        <v>700</v>
      </c>
      <c r="L590" s="22">
        <v>720720000</v>
      </c>
      <c r="M590" s="46"/>
      <c r="N590" s="17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</row>
    <row r="591" spans="1:67" s="3" customFormat="1" ht="20" x14ac:dyDescent="0.2">
      <c r="A591" s="14" t="s">
        <v>2986</v>
      </c>
      <c r="B591" s="14" t="s">
        <v>18</v>
      </c>
      <c r="C591" s="14">
        <v>2025</v>
      </c>
      <c r="D591" s="14" t="str">
        <f t="array" ref="D591">_xlfn.SWITCH(E591,"Bagor","35.18.14","Sukomoro",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1" s="13" t="s">
        <v>35</v>
      </c>
      <c r="F591" s="25" t="s">
        <v>1245</v>
      </c>
      <c r="G591" s="25" t="s">
        <v>1246</v>
      </c>
      <c r="H591" s="13" t="s">
        <v>9</v>
      </c>
      <c r="I591" s="14" t="s">
        <v>229</v>
      </c>
      <c r="J591" s="49">
        <f>12*26*12</f>
        <v>3744</v>
      </c>
      <c r="K591" s="13" t="s">
        <v>700</v>
      </c>
      <c r="L591" s="22">
        <v>381888000</v>
      </c>
      <c r="M591" s="46"/>
      <c r="N591" s="17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</row>
    <row r="592" spans="1:67" s="3" customFormat="1" ht="20" x14ac:dyDescent="0.2">
      <c r="A592" s="14" t="s">
        <v>2986</v>
      </c>
      <c r="B592" s="14" t="s">
        <v>18</v>
      </c>
      <c r="C592" s="14">
        <v>2025</v>
      </c>
      <c r="D592" s="14" t="str">
        <f t="array" ref="D592">_xlfn.SWITCH(E592,"Bagor","35.18.14","Sukomoro",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2" s="13" t="s">
        <v>35</v>
      </c>
      <c r="F592" s="25" t="s">
        <v>1247</v>
      </c>
      <c r="G592" s="25" t="s">
        <v>1248</v>
      </c>
      <c r="H592" s="13" t="s">
        <v>20</v>
      </c>
      <c r="I592" s="14" t="s">
        <v>229</v>
      </c>
      <c r="J592" s="49">
        <f>12*26*12</f>
        <v>3744</v>
      </c>
      <c r="K592" s="13" t="s">
        <v>700</v>
      </c>
      <c r="L592" s="22">
        <v>393120000</v>
      </c>
      <c r="M592" s="46"/>
      <c r="N592" s="17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</row>
    <row r="593" spans="1:67" s="3" customFormat="1" ht="20" x14ac:dyDescent="0.2">
      <c r="A593" s="14" t="s">
        <v>2986</v>
      </c>
      <c r="B593" s="14" t="s">
        <v>18</v>
      </c>
      <c r="C593" s="14">
        <v>2025</v>
      </c>
      <c r="D593" s="14" t="str">
        <f t="array" ref="D593">_xlfn.SWITCH(E593,"Bagor","35.18.14","Sukomoro",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3" s="13" t="s">
        <v>50</v>
      </c>
      <c r="F593" s="25" t="s">
        <v>1086</v>
      </c>
      <c r="G593" s="25" t="s">
        <v>1249</v>
      </c>
      <c r="H593" s="13" t="s">
        <v>20</v>
      </c>
      <c r="I593" s="14" t="s">
        <v>1250</v>
      </c>
      <c r="J593" s="49">
        <f>30*12</f>
        <v>360</v>
      </c>
      <c r="K593" s="13" t="s">
        <v>730</v>
      </c>
      <c r="L593" s="22">
        <v>252000000</v>
      </c>
      <c r="M593" s="46"/>
      <c r="N593" s="17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</row>
    <row r="594" spans="1:67" s="3" customFormat="1" x14ac:dyDescent="0.2">
      <c r="A594" s="14" t="s">
        <v>2986</v>
      </c>
      <c r="B594" s="14" t="s">
        <v>18</v>
      </c>
      <c r="C594" s="14">
        <v>2025</v>
      </c>
      <c r="D594" s="14" t="str">
        <f t="array" ref="D594">_xlfn.SWITCH(E594,"Bagor","35.18.14","Sukomoro",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4" s="13" t="s">
        <v>50</v>
      </c>
      <c r="F594" s="25" t="s">
        <v>868</v>
      </c>
      <c r="G594" s="25" t="s">
        <v>1249</v>
      </c>
      <c r="H594" s="13" t="s">
        <v>20</v>
      </c>
      <c r="I594" s="14" t="s">
        <v>1101</v>
      </c>
      <c r="J594" s="49">
        <v>30</v>
      </c>
      <c r="K594" s="13" t="s">
        <v>1251</v>
      </c>
      <c r="L594" s="22">
        <v>165000000</v>
      </c>
      <c r="M594" s="46"/>
      <c r="N594" s="17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</row>
    <row r="595" spans="1:67" s="3" customFormat="1" x14ac:dyDescent="0.2">
      <c r="A595" s="14" t="s">
        <v>2986</v>
      </c>
      <c r="B595" s="14" t="s">
        <v>18</v>
      </c>
      <c r="C595" s="14">
        <v>2025</v>
      </c>
      <c r="D595" s="14" t="str">
        <f t="array" ref="D595">_xlfn.SWITCH(E595,"Bagor","35.18.14","Sukomoro",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95" s="13" t="s">
        <v>98</v>
      </c>
      <c r="F595" s="25" t="s">
        <v>1252</v>
      </c>
      <c r="G595" s="25" t="s">
        <v>1253</v>
      </c>
      <c r="H595" s="13" t="s">
        <v>20</v>
      </c>
      <c r="I595" s="14" t="s">
        <v>36</v>
      </c>
      <c r="J595" s="49">
        <v>10</v>
      </c>
      <c r="K595" s="13" t="s">
        <v>34</v>
      </c>
      <c r="L595" s="22">
        <v>50000000</v>
      </c>
      <c r="M595" s="46"/>
      <c r="N595" s="17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</row>
    <row r="596" spans="1:67" s="3" customFormat="1" x14ac:dyDescent="0.2">
      <c r="A596" s="14" t="s">
        <v>2986</v>
      </c>
      <c r="B596" s="14" t="s">
        <v>18</v>
      </c>
      <c r="C596" s="14">
        <v>2025</v>
      </c>
      <c r="D596" s="14" t="str">
        <f t="array" ref="D596">_xlfn.SWITCH(E596,"Bagor","35.18.14","Sukomoro",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6" s="13" t="s">
        <v>102</v>
      </c>
      <c r="F596" s="25" t="s">
        <v>1254</v>
      </c>
      <c r="G596" s="25" t="s">
        <v>1255</v>
      </c>
      <c r="H596" s="13" t="s">
        <v>20</v>
      </c>
      <c r="I596" s="14" t="s">
        <v>61</v>
      </c>
      <c r="J596" s="49">
        <f>20*12</f>
        <v>240</v>
      </c>
      <c r="K596" s="13" t="s">
        <v>1251</v>
      </c>
      <c r="L596" s="22">
        <v>480000000</v>
      </c>
      <c r="M596" s="46"/>
      <c r="N596" s="17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</row>
    <row r="597" spans="1:67" s="3" customFormat="1" x14ac:dyDescent="0.2">
      <c r="A597" s="14" t="s">
        <v>2986</v>
      </c>
      <c r="B597" s="14" t="s">
        <v>18</v>
      </c>
      <c r="C597" s="14">
        <v>2025</v>
      </c>
      <c r="D597" s="14" t="str">
        <f t="array" ref="D597">_xlfn.SWITCH(E597,"Bagor","35.18.14","Sukomoro",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7" s="13" t="s">
        <v>102</v>
      </c>
      <c r="F597" s="25" t="s">
        <v>1256</v>
      </c>
      <c r="G597" s="25" t="s">
        <v>1257</v>
      </c>
      <c r="H597" s="13" t="s">
        <v>20</v>
      </c>
      <c r="I597" s="14" t="s">
        <v>1258</v>
      </c>
      <c r="J597" s="49">
        <v>600</v>
      </c>
      <c r="K597" s="13" t="s">
        <v>730</v>
      </c>
      <c r="L597" s="22">
        <v>174000000</v>
      </c>
      <c r="M597" s="46"/>
      <c r="N597" s="17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</row>
    <row r="598" spans="1:67" s="3" customFormat="1" ht="20" x14ac:dyDescent="0.2">
      <c r="A598" s="14" t="s">
        <v>2986</v>
      </c>
      <c r="B598" s="14" t="s">
        <v>18</v>
      </c>
      <c r="C598" s="14">
        <v>2025</v>
      </c>
      <c r="D598" s="14" t="str">
        <f t="array" ref="D598">_xlfn.SWITCH(E598,"Jatikalen","35.18.20","Kertosono", "35.18.08","Lengkong","35.18.19","Loceret","35.18.04","Tanjunganom","35.18.11","Wilangan","35.18.15")</f>
        <v>35.18.11</v>
      </c>
      <c r="E598" s="13" t="s">
        <v>27</v>
      </c>
      <c r="F598" s="25" t="s">
        <v>1259</v>
      </c>
      <c r="G598" s="25" t="s">
        <v>1260</v>
      </c>
      <c r="H598" s="13" t="s">
        <v>20</v>
      </c>
      <c r="I598" s="14" t="s">
        <v>1258</v>
      </c>
      <c r="J598" s="49">
        <v>200</v>
      </c>
      <c r="K598" s="13" t="s">
        <v>730</v>
      </c>
      <c r="L598" s="22">
        <v>570000000</v>
      </c>
      <c r="M598" s="46"/>
      <c r="N598" s="17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</row>
    <row r="599" spans="1:67" s="3" customFormat="1" x14ac:dyDescent="0.2">
      <c r="A599" s="14" t="s">
        <v>2986</v>
      </c>
      <c r="B599" s="14" t="s">
        <v>18</v>
      </c>
      <c r="C599" s="14">
        <v>2025</v>
      </c>
      <c r="D599" s="14" t="str">
        <f t="array" ref="D599">_xlfn.SWITCH(E599,"Bagor","35.18.14","Sukomoro",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99" s="13" t="s">
        <v>65</v>
      </c>
      <c r="F599" s="25" t="s">
        <v>1261</v>
      </c>
      <c r="G599" s="25" t="s">
        <v>1262</v>
      </c>
      <c r="H599" s="13" t="s">
        <v>9</v>
      </c>
      <c r="I599" s="14" t="s">
        <v>36</v>
      </c>
      <c r="J599" s="49">
        <v>10</v>
      </c>
      <c r="K599" s="13" t="s">
        <v>34</v>
      </c>
      <c r="L599" s="22">
        <v>25000000</v>
      </c>
      <c r="M599" s="46"/>
      <c r="N599" s="17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</row>
    <row r="600" spans="1:67" s="3" customFormat="1" x14ac:dyDescent="0.2">
      <c r="A600" s="14" t="s">
        <v>2986</v>
      </c>
      <c r="B600" s="14" t="s">
        <v>18</v>
      </c>
      <c r="C600" s="14">
        <v>2025</v>
      </c>
      <c r="D600" s="14" t="str">
        <f t="array" ref="D600">_xlfn.SWITCH(E600,"Bagor","35.18.14","Sukomoro",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00" s="13" t="s">
        <v>65</v>
      </c>
      <c r="F600" s="25" t="s">
        <v>1263</v>
      </c>
      <c r="G600" s="25" t="s">
        <v>1264</v>
      </c>
      <c r="H600" s="13" t="s">
        <v>20</v>
      </c>
      <c r="I600" s="14" t="s">
        <v>1265</v>
      </c>
      <c r="J600" s="49">
        <v>40</v>
      </c>
      <c r="K600" s="13" t="s">
        <v>1266</v>
      </c>
      <c r="L600" s="22">
        <v>10000000</v>
      </c>
      <c r="M600" s="46"/>
      <c r="N600" s="17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</row>
    <row r="601" spans="1:67" s="3" customFormat="1" ht="20" x14ac:dyDescent="0.2">
      <c r="A601" s="14" t="s">
        <v>2986</v>
      </c>
      <c r="B601" s="14" t="s">
        <v>18</v>
      </c>
      <c r="C601" s="14">
        <v>2025</v>
      </c>
      <c r="D601" s="14" t="str">
        <f t="array" ref="D601">_xlfn.SWITCH(E601,"Bagor","35.18.14","Sukomoro",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1" s="13" t="s">
        <v>35</v>
      </c>
      <c r="F601" s="25" t="s">
        <v>1267</v>
      </c>
      <c r="G601" s="25" t="s">
        <v>1268</v>
      </c>
      <c r="H601" s="13" t="s">
        <v>20</v>
      </c>
      <c r="I601" s="14" t="s">
        <v>229</v>
      </c>
      <c r="J601" s="49">
        <f>20*26*12</f>
        <v>6240</v>
      </c>
      <c r="K601" s="13" t="s">
        <v>700</v>
      </c>
      <c r="L601" s="22">
        <v>655200000</v>
      </c>
      <c r="M601" s="46"/>
      <c r="N601" s="17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</row>
    <row r="602" spans="1:67" s="3" customFormat="1" ht="20" x14ac:dyDescent="0.2">
      <c r="A602" s="14" t="s">
        <v>2986</v>
      </c>
      <c r="B602" s="14" t="s">
        <v>18</v>
      </c>
      <c r="C602" s="14">
        <v>2025</v>
      </c>
      <c r="D602" s="14" t="str">
        <f t="array" ref="D602">_xlfn.SWITCH(E602,"Bagor","35.18.14","Sukomoro",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2" s="13" t="s">
        <v>35</v>
      </c>
      <c r="F602" s="25" t="s">
        <v>1269</v>
      </c>
      <c r="G602" s="25" t="s">
        <v>1270</v>
      </c>
      <c r="H602" s="13" t="s">
        <v>9</v>
      </c>
      <c r="I602" s="14" t="s">
        <v>1271</v>
      </c>
      <c r="J602" s="49">
        <v>5000</v>
      </c>
      <c r="K602" s="13" t="s">
        <v>87</v>
      </c>
      <c r="L602" s="22">
        <f>J602*20000</f>
        <v>100000000</v>
      </c>
      <c r="M602" s="46"/>
      <c r="N602" s="17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</row>
    <row r="603" spans="1:67" s="3" customFormat="1" x14ac:dyDescent="0.2">
      <c r="A603" s="14" t="s">
        <v>2986</v>
      </c>
      <c r="B603" s="14" t="s">
        <v>18</v>
      </c>
      <c r="C603" s="14">
        <v>2025</v>
      </c>
      <c r="D603" s="14" t="str">
        <f t="array" ref="D603">_xlfn.SWITCH(E603,"Bagor","35.18.14","Sukomoro",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3" s="13" t="s">
        <v>50</v>
      </c>
      <c r="F603" s="25" t="s">
        <v>870</v>
      </c>
      <c r="G603" s="25" t="s">
        <v>1272</v>
      </c>
      <c r="H603" s="13" t="s">
        <v>9</v>
      </c>
      <c r="I603" s="14" t="s">
        <v>1101</v>
      </c>
      <c r="J603" s="49">
        <f>3*12</f>
        <v>36</v>
      </c>
      <c r="K603" s="13" t="s">
        <v>1251</v>
      </c>
      <c r="L603" s="22">
        <v>144000000</v>
      </c>
      <c r="M603" s="46"/>
      <c r="N603" s="17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</row>
    <row r="604" spans="1:67" s="3" customFormat="1" x14ac:dyDescent="0.2">
      <c r="A604" s="14" t="s">
        <v>2986</v>
      </c>
      <c r="B604" s="14" t="s">
        <v>18</v>
      </c>
      <c r="C604" s="14">
        <v>2025</v>
      </c>
      <c r="D604" s="14" t="str">
        <f t="array" ref="D604">_xlfn.SWITCH(E604,"Jatikalen","35.18.20","Kertosono", "35.18.08","Lengkong","35.18.19","Loceret","35.18.04","Tanjunganom","35.18.11","Wilangan","35.18.15")</f>
        <v>35.18.11</v>
      </c>
      <c r="E604" s="13" t="s">
        <v>27</v>
      </c>
      <c r="F604" s="25" t="s">
        <v>1273</v>
      </c>
      <c r="G604" s="25" t="s">
        <v>1274</v>
      </c>
      <c r="H604" s="13" t="s">
        <v>9</v>
      </c>
      <c r="I604" s="14" t="s">
        <v>36</v>
      </c>
      <c r="J604" s="49">
        <f>4*12</f>
        <v>48</v>
      </c>
      <c r="K604" s="13" t="s">
        <v>34</v>
      </c>
      <c r="L604" s="22">
        <v>120000000</v>
      </c>
      <c r="M604" s="46"/>
      <c r="N604" s="17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</row>
    <row r="605" spans="1:67" s="3" customFormat="1" x14ac:dyDescent="0.2">
      <c r="A605" s="14" t="s">
        <v>2986</v>
      </c>
      <c r="B605" s="14" t="s">
        <v>18</v>
      </c>
      <c r="C605" s="14">
        <v>2025</v>
      </c>
      <c r="D605" s="14" t="str">
        <f t="array" ref="D605">_xlfn.SWITCH(E605,"Jatikalen","35.18.20","Kertosono", "35.18.08","Lengkong","35.18.19","Loceret","35.18.04","Tanjunganom","35.18.11","Wilangan","35.18.15")</f>
        <v>35.18.15</v>
      </c>
      <c r="E605" s="13" t="s">
        <v>848</v>
      </c>
      <c r="F605" s="25" t="s">
        <v>1275</v>
      </c>
      <c r="G605" s="25" t="s">
        <v>1276</v>
      </c>
      <c r="H605" s="13" t="s">
        <v>9</v>
      </c>
      <c r="I605" s="14" t="s">
        <v>109</v>
      </c>
      <c r="J605" s="49">
        <f>50*26*12</f>
        <v>15600</v>
      </c>
      <c r="K605" s="13" t="s">
        <v>700</v>
      </c>
      <c r="L605" s="22">
        <v>148200000</v>
      </c>
      <c r="M605" s="46"/>
      <c r="N605" s="17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</row>
    <row r="606" spans="1:67" s="3" customFormat="1" x14ac:dyDescent="0.2">
      <c r="A606" s="14" t="s">
        <v>2986</v>
      </c>
      <c r="B606" s="14" t="s">
        <v>18</v>
      </c>
      <c r="C606" s="14">
        <v>2025</v>
      </c>
      <c r="D606" s="14" t="str">
        <f t="array" ref="D606">_xlfn.SWITCH(E606,"Jatikalen","35.18.20","Kertosono", "35.18.08","Lengkong","35.18.19","Loceret","35.18.04","Tanjunganom","35.18.11","Wilangan","35.18.15")</f>
        <v>35.18.15</v>
      </c>
      <c r="E606" s="13" t="s">
        <v>848</v>
      </c>
      <c r="F606" s="25" t="str">
        <f>F605</f>
        <v>Ds. Ngudikan</v>
      </c>
      <c r="G606" s="25" t="s">
        <v>1205</v>
      </c>
      <c r="H606" s="13" t="s">
        <v>9</v>
      </c>
      <c r="I606" s="14" t="s">
        <v>109</v>
      </c>
      <c r="J606" s="49">
        <f>70*26*12</f>
        <v>21840</v>
      </c>
      <c r="K606" s="13" t="s">
        <v>700</v>
      </c>
      <c r="L606" s="22">
        <v>207480000</v>
      </c>
      <c r="M606" s="46"/>
      <c r="N606" s="17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</row>
    <row r="607" spans="1:67" s="3" customFormat="1" x14ac:dyDescent="0.2">
      <c r="A607" s="14" t="s">
        <v>2986</v>
      </c>
      <c r="B607" s="14" t="s">
        <v>18</v>
      </c>
      <c r="C607" s="14">
        <v>2025</v>
      </c>
      <c r="D607" s="14" t="str">
        <f t="array" ref="D607">_xlfn.SWITCH(E607,"Jatikalen","35.18.20","Kertosono", "35.18.08","Lengkong","35.18.19","Loceret","35.18.04","Tanjunganom","35.18.11","Wilangan","35.18.15")</f>
        <v>35.18.15</v>
      </c>
      <c r="E607" s="13" t="s">
        <v>848</v>
      </c>
      <c r="F607" s="25" t="str">
        <f>F606</f>
        <v>Ds. Ngudikan</v>
      </c>
      <c r="G607" s="25" t="s">
        <v>1277</v>
      </c>
      <c r="H607" s="13" t="s">
        <v>9</v>
      </c>
      <c r="I607" s="14" t="s">
        <v>109</v>
      </c>
      <c r="J607" s="49">
        <f>72*26*12</f>
        <v>22464</v>
      </c>
      <c r="K607" s="13" t="s">
        <v>700</v>
      </c>
      <c r="L607" s="22">
        <v>213408000</v>
      </c>
      <c r="M607" s="46"/>
      <c r="N607" s="17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</row>
    <row r="608" spans="1:67" s="3" customFormat="1" x14ac:dyDescent="0.2">
      <c r="A608" s="14" t="s">
        <v>2986</v>
      </c>
      <c r="B608" s="14" t="s">
        <v>18</v>
      </c>
      <c r="C608" s="14">
        <v>2025</v>
      </c>
      <c r="D608" s="14" t="str">
        <f t="array" ref="D608">_xlfn.SWITCH(E608,"Jatikalen","35.18.20","Kertosono", "35.18.08","Lengkong","35.18.19","Loceret","35.18.04","Tanjunganom","35.18.11","Wilangan","35.18.15")</f>
        <v>35.18.15</v>
      </c>
      <c r="E608" s="13" t="s">
        <v>848</v>
      </c>
      <c r="F608" s="25" t="str">
        <f>F607</f>
        <v>Ds. Ngudikan</v>
      </c>
      <c r="G608" s="25" t="s">
        <v>1278</v>
      </c>
      <c r="H608" s="13" t="s">
        <v>20</v>
      </c>
      <c r="I608" s="14" t="s">
        <v>36</v>
      </c>
      <c r="J608" s="49">
        <f>5*4*12</f>
        <v>240</v>
      </c>
      <c r="K608" s="13" t="s">
        <v>34</v>
      </c>
      <c r="L608" s="22">
        <v>240000000</v>
      </c>
      <c r="M608" s="46"/>
      <c r="N608" s="17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</row>
    <row r="609" spans="1:67" s="3" customFormat="1" ht="20" x14ac:dyDescent="0.2">
      <c r="A609" s="14" t="s">
        <v>2986</v>
      </c>
      <c r="B609" s="14" t="s">
        <v>18</v>
      </c>
      <c r="C609" s="14">
        <v>2025</v>
      </c>
      <c r="D609" s="14" t="str">
        <f t="array" ref="D609">_xlfn.SWITCH(E609,"Jatikalen","35.18.20","Kertosono", "35.18.08","Lengkong","35.18.19","Loceret","35.18.04","Tanjunganom","35.18.11","Wilangan","35.18.15")</f>
        <v>35.18.15</v>
      </c>
      <c r="E609" s="13" t="s">
        <v>848</v>
      </c>
      <c r="F609" s="25" t="s">
        <v>1279</v>
      </c>
      <c r="G609" s="25" t="s">
        <v>1280</v>
      </c>
      <c r="H609" s="13" t="s">
        <v>20</v>
      </c>
      <c r="I609" s="14" t="s">
        <v>1101</v>
      </c>
      <c r="J609" s="49">
        <v>150</v>
      </c>
      <c r="K609" s="13" t="s">
        <v>34</v>
      </c>
      <c r="L609" s="22">
        <v>150000000</v>
      </c>
      <c r="M609" s="46"/>
      <c r="N609" s="17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</row>
    <row r="610" spans="1:67" s="3" customFormat="1" x14ac:dyDescent="0.2">
      <c r="A610" s="14" t="s">
        <v>2986</v>
      </c>
      <c r="B610" s="14" t="s">
        <v>18</v>
      </c>
      <c r="C610" s="14">
        <v>2025</v>
      </c>
      <c r="D610" s="14" t="str">
        <f t="array" ref="D610">_xlfn.SWITCH(E610,"Jatikalen","35.18.20","Kertosono", "35.18.08","Lengkong","35.18.19","Loceret","35.18.04","Tanjunganom","35.18.11","Wilangan","35.18.15")</f>
        <v>35.18.15</v>
      </c>
      <c r="E610" s="13" t="s">
        <v>848</v>
      </c>
      <c r="F610" s="25" t="s">
        <v>927</v>
      </c>
      <c r="G610" s="25" t="s">
        <v>1281</v>
      </c>
      <c r="H610" s="13" t="s">
        <v>20</v>
      </c>
      <c r="I610" s="14" t="s">
        <v>36</v>
      </c>
      <c r="J610" s="49">
        <v>130</v>
      </c>
      <c r="K610" s="13" t="s">
        <v>34</v>
      </c>
      <c r="L610" s="22">
        <v>195000000</v>
      </c>
      <c r="M610" s="46"/>
      <c r="N610" s="17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</row>
    <row r="611" spans="1:67" s="3" customFormat="1" x14ac:dyDescent="0.2">
      <c r="A611" s="14" t="s">
        <v>2986</v>
      </c>
      <c r="B611" s="14" t="s">
        <v>18</v>
      </c>
      <c r="C611" s="14">
        <v>2025</v>
      </c>
      <c r="D611" s="14" t="str">
        <f t="array" ref="D611">_xlfn.SWITCH(E611,"Jatikalen","35.18.20","Kertosono", "35.18.08","Lengkong","35.18.19","Loceret","35.18.04","Tanjunganom","35.18.11","Wilangan","35.18.15")</f>
        <v>35.18.15</v>
      </c>
      <c r="E611" s="13" t="s">
        <v>848</v>
      </c>
      <c r="F611" s="25" t="s">
        <v>927</v>
      </c>
      <c r="G611" s="25" t="s">
        <v>1282</v>
      </c>
      <c r="H611" s="13" t="s">
        <v>20</v>
      </c>
      <c r="I611" s="14" t="s">
        <v>61</v>
      </c>
      <c r="J611" s="49">
        <v>40</v>
      </c>
      <c r="K611" s="13" t="s">
        <v>34</v>
      </c>
      <c r="L611" s="22">
        <v>68000000</v>
      </c>
      <c r="M611" s="46"/>
      <c r="N611" s="17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</row>
    <row r="612" spans="1:67" s="3" customFormat="1" ht="20" x14ac:dyDescent="0.2">
      <c r="A612" s="14" t="s">
        <v>2986</v>
      </c>
      <c r="B612" s="14" t="s">
        <v>18</v>
      </c>
      <c r="C612" s="14">
        <v>2025</v>
      </c>
      <c r="D612" s="14" t="str">
        <f t="array" ref="D612">_xlfn.SWITCH(E612,"Jatikalen","35.18.20","Kertosono", "35.18.08","Lengkong","35.18.19","Loceret","35.18.04","Tanjunganom","35.18.11","Wilangan","35.18.15")</f>
        <v>35.18.15</v>
      </c>
      <c r="E612" s="13" t="s">
        <v>848</v>
      </c>
      <c r="F612" s="25" t="s">
        <v>1283</v>
      </c>
      <c r="G612" s="25" t="s">
        <v>1284</v>
      </c>
      <c r="H612" s="13" t="s">
        <v>9</v>
      </c>
      <c r="I612" s="14" t="s">
        <v>181</v>
      </c>
      <c r="J612" s="49">
        <f>3*12</f>
        <v>36</v>
      </c>
      <c r="K612" s="13" t="s">
        <v>22</v>
      </c>
      <c r="L612" s="22">
        <v>97200000</v>
      </c>
      <c r="M612" s="46"/>
      <c r="N612" s="17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</row>
    <row r="613" spans="1:67" s="3" customFormat="1" x14ac:dyDescent="0.2">
      <c r="A613" s="14" t="s">
        <v>2986</v>
      </c>
      <c r="B613" s="14" t="s">
        <v>18</v>
      </c>
      <c r="C613" s="14">
        <v>2025</v>
      </c>
      <c r="D613" s="14" t="str">
        <f t="array" ref="D613">_xlfn.SWITCH(E613,"Bagor","35.18.14","Sukomoro",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3" s="13" t="s">
        <v>65</v>
      </c>
      <c r="F613" s="25" t="s">
        <v>1261</v>
      </c>
      <c r="G613" s="25" t="s">
        <v>1285</v>
      </c>
      <c r="H613" s="13" t="s">
        <v>20</v>
      </c>
      <c r="I613" s="14" t="s">
        <v>1101</v>
      </c>
      <c r="J613" s="49">
        <v>25</v>
      </c>
      <c r="K613" s="13" t="s">
        <v>34</v>
      </c>
      <c r="L613" s="22">
        <v>125000000</v>
      </c>
      <c r="M613" s="46"/>
      <c r="N613" s="17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</row>
    <row r="614" spans="1:67" s="3" customFormat="1" x14ac:dyDescent="0.2">
      <c r="A614" s="14" t="s">
        <v>2986</v>
      </c>
      <c r="B614" s="14" t="s">
        <v>18</v>
      </c>
      <c r="C614" s="14">
        <v>2025</v>
      </c>
      <c r="D614" s="14" t="str">
        <f t="array" ref="D614">_xlfn.SWITCH(E614,"Bagor","35.18.14","Sukomoro",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4" s="13" t="s">
        <v>65</v>
      </c>
      <c r="F614" s="25" t="s">
        <v>1286</v>
      </c>
      <c r="G614" s="25" t="s">
        <v>1287</v>
      </c>
      <c r="H614" s="13" t="s">
        <v>9</v>
      </c>
      <c r="I614" s="14" t="s">
        <v>1288</v>
      </c>
      <c r="J614" s="49">
        <f>50*12</f>
        <v>600</v>
      </c>
      <c r="K614" s="13" t="s">
        <v>700</v>
      </c>
      <c r="L614" s="22">
        <v>7200000</v>
      </c>
      <c r="M614" s="46"/>
      <c r="N614" s="17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</row>
    <row r="615" spans="1:67" s="3" customFormat="1" x14ac:dyDescent="0.2">
      <c r="A615" s="14" t="s">
        <v>2986</v>
      </c>
      <c r="B615" s="14" t="s">
        <v>18</v>
      </c>
      <c r="C615" s="14">
        <v>2025</v>
      </c>
      <c r="D615" s="14" t="str">
        <f t="array" ref="D615">_xlfn.SWITCH(E615,"Bagor","35.18.14","Sukomoro",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5" s="13" t="s">
        <v>65</v>
      </c>
      <c r="F615" s="25" t="s">
        <v>1289</v>
      </c>
      <c r="G615" s="25" t="s">
        <v>1290</v>
      </c>
      <c r="H615" s="13" t="s">
        <v>9</v>
      </c>
      <c r="I615" s="14" t="s">
        <v>1291</v>
      </c>
      <c r="J615" s="49">
        <f>3*12</f>
        <v>36</v>
      </c>
      <c r="K615" s="13" t="s">
        <v>87</v>
      </c>
      <c r="L615" s="22">
        <v>81000000</v>
      </c>
      <c r="M615" s="46"/>
      <c r="N615" s="17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</row>
    <row r="616" spans="1:67" s="3" customFormat="1" ht="20" x14ac:dyDescent="0.2">
      <c r="A616" s="14" t="s">
        <v>2986</v>
      </c>
      <c r="B616" s="14" t="s">
        <v>18</v>
      </c>
      <c r="C616" s="14">
        <v>2025</v>
      </c>
      <c r="D616" s="14" t="str">
        <f t="array" ref="D616">_xlfn.SWITCH(E616,"Jatikalen","35.18.20","Kertosono", "35.18.08","Lengkong","35.18.19","Loceret","35.18.04","Tanjunganom","35.18.11","Wilangan","35.18.15")</f>
        <v>35.18.11</v>
      </c>
      <c r="E616" s="13" t="s">
        <v>27</v>
      </c>
      <c r="F616" s="25" t="s">
        <v>1292</v>
      </c>
      <c r="G616" s="25" t="s">
        <v>1293</v>
      </c>
      <c r="H616" s="13" t="s">
        <v>43</v>
      </c>
      <c r="I616" s="14" t="s">
        <v>1234</v>
      </c>
      <c r="J616" s="49">
        <f>4*12</f>
        <v>48</v>
      </c>
      <c r="K616" s="13" t="s">
        <v>1294</v>
      </c>
      <c r="L616" s="22">
        <v>691200000</v>
      </c>
      <c r="M616" s="46"/>
      <c r="N616" s="17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</row>
    <row r="617" spans="1:67" s="3" customFormat="1" x14ac:dyDescent="0.2">
      <c r="A617" s="14" t="s">
        <v>2986</v>
      </c>
      <c r="B617" s="14" t="s">
        <v>18</v>
      </c>
      <c r="C617" s="14">
        <v>2025</v>
      </c>
      <c r="D617" s="14" t="str">
        <f t="array" ref="D617">_xlfn.SWITCH(E617,"Jatikalen","35.18.20","Kertosono", "35.18.08","Lengkong","35.18.19","Loceret","35.18.04","Tanjunganom","35.18.11","Wilangan","35.18.15")</f>
        <v>35.18.11</v>
      </c>
      <c r="E617" s="13" t="s">
        <v>27</v>
      </c>
      <c r="F617" s="25" t="s">
        <v>1105</v>
      </c>
      <c r="G617" s="25" t="s">
        <v>1295</v>
      </c>
      <c r="H617" s="13" t="s">
        <v>20</v>
      </c>
      <c r="I617" s="14" t="s">
        <v>1296</v>
      </c>
      <c r="J617" s="49">
        <f>1500*12</f>
        <v>18000</v>
      </c>
      <c r="K617" s="13" t="s">
        <v>953</v>
      </c>
      <c r="L617" s="22">
        <v>54000000</v>
      </c>
      <c r="M617" s="46"/>
      <c r="N617" s="17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</row>
    <row r="618" spans="1:67" s="3" customFormat="1" x14ac:dyDescent="0.2">
      <c r="A618" s="14" t="s">
        <v>2986</v>
      </c>
      <c r="B618" s="14" t="s">
        <v>18</v>
      </c>
      <c r="C618" s="14">
        <v>2025</v>
      </c>
      <c r="D618" s="14" t="str">
        <f t="array" ref="D618">_xlfn.SWITCH(E618,"Jatikalen","35.18.20","Kertosono", "35.18.08","Lengkong","35.18.19","Loceret","35.18.04","Tanjunganom","35.18.11","Wilangan","35.18.15")</f>
        <v>35.18.11</v>
      </c>
      <c r="E618" s="13" t="s">
        <v>27</v>
      </c>
      <c r="F618" s="25" t="s">
        <v>1105</v>
      </c>
      <c r="G618" s="25" t="s">
        <v>1297</v>
      </c>
      <c r="H618" s="13" t="s">
        <v>9</v>
      </c>
      <c r="I618" s="14" t="s">
        <v>1298</v>
      </c>
      <c r="J618" s="49">
        <f>250*12</f>
        <v>3000</v>
      </c>
      <c r="K618" s="13" t="s">
        <v>22</v>
      </c>
      <c r="L618" s="22">
        <v>600000000</v>
      </c>
      <c r="M618" s="46"/>
      <c r="N618" s="17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</row>
    <row r="619" spans="1:67" s="3" customFormat="1" x14ac:dyDescent="0.2">
      <c r="A619" s="14" t="s">
        <v>2986</v>
      </c>
      <c r="B619" s="14" t="s">
        <v>18</v>
      </c>
      <c r="C619" s="14">
        <v>2025</v>
      </c>
      <c r="D619" s="14" t="str">
        <f t="array" ref="D619">_xlfn.SWITCH(E619,"Jatikalen","35.18.20","Kertosono", "35.18.08","Lengkong","35.18.19","Loceret","35.18.04","Tanjunganom","35.18.11","Wilangan","35.18.15")</f>
        <v>35.18.11</v>
      </c>
      <c r="E619" s="13" t="s">
        <v>27</v>
      </c>
      <c r="F619" s="25" t="s">
        <v>1105</v>
      </c>
      <c r="G619" s="25" t="s">
        <v>1299</v>
      </c>
      <c r="H619" s="13" t="s">
        <v>9</v>
      </c>
      <c r="I619" s="14" t="s">
        <v>114</v>
      </c>
      <c r="J619" s="49">
        <f>225*12*4</f>
        <v>10800</v>
      </c>
      <c r="K619" s="13" t="s">
        <v>700</v>
      </c>
      <c r="L619" s="22">
        <v>85320000</v>
      </c>
      <c r="M619" s="46"/>
      <c r="N619" s="17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</row>
    <row r="620" spans="1:67" s="3" customFormat="1" x14ac:dyDescent="0.2">
      <c r="A620" s="14" t="s">
        <v>2986</v>
      </c>
      <c r="B620" s="14" t="s">
        <v>18</v>
      </c>
      <c r="C620" s="14">
        <v>2025</v>
      </c>
      <c r="D620" s="14" t="str">
        <f t="array" ref="D620">_xlfn.SWITCH(E620,"Jatikalen","35.18.20","Kertosono", "35.18.08","Lengkong","35.18.19","Loceret","35.18.04","Tanjunganom","35.18.11","Wilangan","35.18.15")</f>
        <v>35.18.11</v>
      </c>
      <c r="E620" s="13" t="s">
        <v>27</v>
      </c>
      <c r="F620" s="25" t="s">
        <v>1105</v>
      </c>
      <c r="G620" s="25" t="s">
        <v>1193</v>
      </c>
      <c r="H620" s="13" t="s">
        <v>9</v>
      </c>
      <c r="I620" s="14" t="s">
        <v>1101</v>
      </c>
      <c r="J620" s="49">
        <f>3*12</f>
        <v>36</v>
      </c>
      <c r="K620" s="13" t="s">
        <v>34</v>
      </c>
      <c r="L620" s="22">
        <v>234000000</v>
      </c>
      <c r="M620" s="46"/>
      <c r="N620" s="17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</row>
    <row r="621" spans="1:67" s="3" customFormat="1" x14ac:dyDescent="0.2">
      <c r="A621" s="14" t="s">
        <v>2986</v>
      </c>
      <c r="B621" s="14" t="s">
        <v>18</v>
      </c>
      <c r="C621" s="14">
        <v>2025</v>
      </c>
      <c r="D621" s="14" t="str">
        <f t="array" ref="D621">_xlfn.SWITCH(E621,"Jatikalen","35.18.20","Kertosono", "35.18.08","Lengkong","35.18.19","Loceret","35.18.04","Tanjunganom","35.18.11","Wilangan","35.18.15")</f>
        <v>35.18.11</v>
      </c>
      <c r="E621" s="13" t="s">
        <v>27</v>
      </c>
      <c r="F621" s="25" t="s">
        <v>1105</v>
      </c>
      <c r="G621" s="25" t="s">
        <v>1300</v>
      </c>
      <c r="H621" s="13" t="s">
        <v>20</v>
      </c>
      <c r="I621" s="14" t="s">
        <v>36</v>
      </c>
      <c r="J621" s="49">
        <v>5</v>
      </c>
      <c r="K621" s="13" t="s">
        <v>34</v>
      </c>
      <c r="L621" s="22">
        <v>20000000</v>
      </c>
      <c r="M621" s="46"/>
      <c r="N621" s="17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</row>
    <row r="622" spans="1:67" s="3" customFormat="1" x14ac:dyDescent="0.2">
      <c r="A622" s="14" t="s">
        <v>2986</v>
      </c>
      <c r="B622" s="14" t="s">
        <v>18</v>
      </c>
      <c r="C622" s="14">
        <v>2025</v>
      </c>
      <c r="D622" s="14" t="str">
        <f t="array" ref="D622">_xlfn.SWITCH(E622,"Bagor","35.18.14","Sukomoro",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2" s="13" t="s">
        <v>65</v>
      </c>
      <c r="F622" s="25" t="s">
        <v>1301</v>
      </c>
      <c r="G622" s="25" t="s">
        <v>1302</v>
      </c>
      <c r="H622" s="13" t="s">
        <v>9</v>
      </c>
      <c r="I622" s="14" t="s">
        <v>659</v>
      </c>
      <c r="J622" s="49">
        <f>5*2*12</f>
        <v>120</v>
      </c>
      <c r="K622" s="13" t="s">
        <v>730</v>
      </c>
      <c r="L622" s="22">
        <v>204000000</v>
      </c>
      <c r="M622" s="46"/>
      <c r="N622" s="17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</row>
    <row r="623" spans="1:67" s="3" customFormat="1" x14ac:dyDescent="0.2">
      <c r="A623" s="14" t="s">
        <v>2986</v>
      </c>
      <c r="B623" s="14" t="s">
        <v>18</v>
      </c>
      <c r="C623" s="14">
        <v>2025</v>
      </c>
      <c r="D623" s="14" t="str">
        <f t="array" ref="D623">_xlfn.SWITCH(E623,"Bagor","35.18.14","Sukomoro",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3" s="13" t="s">
        <v>65</v>
      </c>
      <c r="F623" s="25" t="s">
        <v>1303</v>
      </c>
      <c r="G623" s="25" t="s">
        <v>1304</v>
      </c>
      <c r="H623" s="13" t="s">
        <v>9</v>
      </c>
      <c r="I623" s="14" t="s">
        <v>659</v>
      </c>
      <c r="J623" s="49">
        <f>4.5*12</f>
        <v>54</v>
      </c>
      <c r="K623" s="13" t="s">
        <v>45</v>
      </c>
      <c r="L623" s="22">
        <v>81000000</v>
      </c>
      <c r="M623" s="46"/>
      <c r="N623" s="17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</row>
    <row r="624" spans="1:67" s="3" customFormat="1" x14ac:dyDescent="0.2">
      <c r="A624" s="14" t="s">
        <v>2986</v>
      </c>
      <c r="B624" s="14" t="s">
        <v>18</v>
      </c>
      <c r="C624" s="14">
        <v>2025</v>
      </c>
      <c r="D624" s="14" t="str">
        <f t="array" ref="D624">_xlfn.SWITCH(E624,"Bagor","35.18.14","Sukomoro",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4" s="13" t="s">
        <v>65</v>
      </c>
      <c r="F624" s="25" t="s">
        <v>1305</v>
      </c>
      <c r="G624" s="25" t="s">
        <v>1306</v>
      </c>
      <c r="H624" s="13" t="s">
        <v>20</v>
      </c>
      <c r="I624" s="14" t="s">
        <v>659</v>
      </c>
      <c r="J624" s="49">
        <f>4*12*2</f>
        <v>96</v>
      </c>
      <c r="K624" s="13" t="s">
        <v>45</v>
      </c>
      <c r="L624" s="22">
        <v>144000000</v>
      </c>
      <c r="M624" s="46"/>
      <c r="N624" s="17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</row>
    <row r="625" spans="1:67" s="3" customFormat="1" x14ac:dyDescent="0.2">
      <c r="A625" s="14" t="s">
        <v>2986</v>
      </c>
      <c r="B625" s="14" t="s">
        <v>18</v>
      </c>
      <c r="C625" s="14">
        <v>2025</v>
      </c>
      <c r="D625" s="14" t="str">
        <f t="array" ref="D625">_xlfn.SWITCH(E625,"Bagor","35.18.14","Sukomoro",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625" s="13" t="s">
        <v>98</v>
      </c>
      <c r="F625" s="25" t="s">
        <v>1307</v>
      </c>
      <c r="G625" s="25" t="s">
        <v>1308</v>
      </c>
      <c r="H625" s="13" t="s">
        <v>20</v>
      </c>
      <c r="I625" s="14" t="s">
        <v>1309</v>
      </c>
      <c r="J625" s="49">
        <f>40*12</f>
        <v>480</v>
      </c>
      <c r="K625" s="13" t="s">
        <v>34</v>
      </c>
      <c r="L625" s="22">
        <v>129600000</v>
      </c>
      <c r="M625" s="46"/>
      <c r="N625" s="17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</row>
    <row r="626" spans="1:67" s="3" customFormat="1" x14ac:dyDescent="0.2">
      <c r="A626" s="14" t="s">
        <v>2986</v>
      </c>
      <c r="B626" s="14" t="s">
        <v>18</v>
      </c>
      <c r="C626" s="14">
        <v>2025</v>
      </c>
      <c r="D626" s="14" t="str">
        <f t="array" ref="D626">_xlfn.SWITCH(E626,"Jatikalen","35.18.20","Kertosono", "35.18.08","Lengkong","35.18.19","Loceret","35.18.04","Tanjunganom","35.18.11","Wilangan","35.18.15")</f>
        <v>35.18.11</v>
      </c>
      <c r="E626" s="13" t="s">
        <v>27</v>
      </c>
      <c r="F626" s="25" t="s">
        <v>1310</v>
      </c>
      <c r="G626" s="25" t="s">
        <v>530</v>
      </c>
      <c r="H626" s="13" t="s">
        <v>9</v>
      </c>
      <c r="I626" s="14" t="s">
        <v>109</v>
      </c>
      <c r="J626" s="49">
        <f>15*26*12</f>
        <v>4680</v>
      </c>
      <c r="K626" s="13" t="s">
        <v>700</v>
      </c>
      <c r="L626" s="22">
        <v>37440000</v>
      </c>
      <c r="M626" s="46"/>
      <c r="N626" s="17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</row>
    <row r="627" spans="1:67" s="3" customFormat="1" x14ac:dyDescent="0.2">
      <c r="A627" s="14" t="s">
        <v>2986</v>
      </c>
      <c r="B627" s="14" t="s">
        <v>18</v>
      </c>
      <c r="C627" s="14">
        <v>2025</v>
      </c>
      <c r="D627" s="14" t="str">
        <f t="array" ref="D627">_xlfn.SWITCH(E627,"Bagor","35.18.14","Sukomoro",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7" s="13" t="s">
        <v>50</v>
      </c>
      <c r="F627" s="25" t="s">
        <v>868</v>
      </c>
      <c r="G627" s="25" t="s">
        <v>1311</v>
      </c>
      <c r="H627" s="13" t="s">
        <v>9</v>
      </c>
      <c r="I627" s="14" t="s">
        <v>166</v>
      </c>
      <c r="J627" s="49">
        <f>20*12*26</f>
        <v>6240</v>
      </c>
      <c r="K627" s="13" t="s">
        <v>1312</v>
      </c>
      <c r="L627" s="22">
        <v>205920000</v>
      </c>
      <c r="M627" s="46"/>
      <c r="N627" s="17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</row>
    <row r="628" spans="1:67" s="3" customFormat="1" x14ac:dyDescent="0.2">
      <c r="A628" s="14" t="s">
        <v>2986</v>
      </c>
      <c r="B628" s="14" t="s">
        <v>18</v>
      </c>
      <c r="C628" s="14">
        <v>2025</v>
      </c>
      <c r="D628" s="14" t="str">
        <f t="array" ref="D628">_xlfn.SWITCH(E628,"Bagor","35.18.14","Sukomoro",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8" s="13" t="s">
        <v>50</v>
      </c>
      <c r="F628" s="25" t="s">
        <v>868</v>
      </c>
      <c r="G628" s="25" t="s">
        <v>1313</v>
      </c>
      <c r="H628" s="13" t="s">
        <v>20</v>
      </c>
      <c r="I628" s="14" t="s">
        <v>166</v>
      </c>
      <c r="J628" s="49">
        <f>30*26*12</f>
        <v>9360</v>
      </c>
      <c r="K628" s="13" t="s">
        <v>1312</v>
      </c>
      <c r="L628" s="22">
        <v>252720000</v>
      </c>
      <c r="M628" s="46"/>
      <c r="N628" s="17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</row>
    <row r="629" spans="1:67" s="3" customFormat="1" x14ac:dyDescent="0.2">
      <c r="A629" s="14" t="s">
        <v>2986</v>
      </c>
      <c r="B629" s="14" t="s">
        <v>18</v>
      </c>
      <c r="C629" s="14">
        <v>2025</v>
      </c>
      <c r="D629" s="14" t="str">
        <f t="array" ref="D629">_xlfn.SWITCH(E629,"Bagor","35.18.14","Sukomoro",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9" s="13" t="s">
        <v>50</v>
      </c>
      <c r="F629" s="25" t="s">
        <v>868</v>
      </c>
      <c r="G629" s="25" t="s">
        <v>1314</v>
      </c>
      <c r="H629" s="13" t="s">
        <v>9</v>
      </c>
      <c r="I629" s="14" t="s">
        <v>166</v>
      </c>
      <c r="J629" s="49">
        <f>22*26*12</f>
        <v>6864</v>
      </c>
      <c r="K629" s="13" t="s">
        <v>1312</v>
      </c>
      <c r="L629" s="22">
        <v>233376000</v>
      </c>
      <c r="M629" s="46"/>
      <c r="N629" s="17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</row>
    <row r="630" spans="1:67" s="3" customFormat="1" x14ac:dyDescent="0.2">
      <c r="A630" s="14" t="s">
        <v>2986</v>
      </c>
      <c r="B630" s="14" t="s">
        <v>18</v>
      </c>
      <c r="C630" s="14">
        <v>2025</v>
      </c>
      <c r="D630" s="14" t="str">
        <f t="array" ref="D630">_xlfn.SWITCH(E630,"Bagor","35.18.14","Sukomoro",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0" s="13" t="s">
        <v>50</v>
      </c>
      <c r="F630" s="25" t="s">
        <v>868</v>
      </c>
      <c r="G630" s="25" t="s">
        <v>1315</v>
      </c>
      <c r="H630" s="13" t="s">
        <v>9</v>
      </c>
      <c r="I630" s="14" t="s">
        <v>1316</v>
      </c>
      <c r="J630" s="49">
        <f>100*12</f>
        <v>1200</v>
      </c>
      <c r="K630" s="13" t="s">
        <v>22</v>
      </c>
      <c r="L630" s="22">
        <v>420000000</v>
      </c>
      <c r="M630" s="46"/>
      <c r="N630" s="17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</row>
    <row r="631" spans="1:67" s="3" customFormat="1" ht="20" x14ac:dyDescent="0.2">
      <c r="A631" s="14" t="s">
        <v>2986</v>
      </c>
      <c r="B631" s="14" t="s">
        <v>18</v>
      </c>
      <c r="C631" s="14">
        <v>2025</v>
      </c>
      <c r="D631" s="14" t="str">
        <f t="array" ref="D631">_xlfn.SWITCH(E631,"Bagor","35.18.14","Sukomoro",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1" s="13" t="s">
        <v>50</v>
      </c>
      <c r="F631" s="25" t="s">
        <v>1317</v>
      </c>
      <c r="G631" s="25" t="s">
        <v>1318</v>
      </c>
      <c r="H631" s="13" t="s">
        <v>20</v>
      </c>
      <c r="I631" s="14" t="s">
        <v>36</v>
      </c>
      <c r="J631" s="49">
        <f>5*26*12</f>
        <v>1560</v>
      </c>
      <c r="K631" s="13" t="s">
        <v>34</v>
      </c>
      <c r="L631" s="22">
        <v>1716000000</v>
      </c>
      <c r="M631" s="46"/>
      <c r="N631" s="17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</row>
    <row r="632" spans="1:67" s="3" customFormat="1" x14ac:dyDescent="0.2">
      <c r="A632" s="14" t="s">
        <v>2986</v>
      </c>
      <c r="B632" s="14" t="s">
        <v>18</v>
      </c>
      <c r="C632" s="14">
        <v>2025</v>
      </c>
      <c r="D632" s="14" t="str">
        <f t="array" ref="D632">_xlfn.SWITCH(E632,"Bagor","35.18.14","Sukomoro",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2" s="13" t="s">
        <v>50</v>
      </c>
      <c r="F632" s="25" t="s">
        <v>868</v>
      </c>
      <c r="G632" s="25" t="s">
        <v>1319</v>
      </c>
      <c r="H632" s="13" t="s">
        <v>20</v>
      </c>
      <c r="I632" s="14" t="s">
        <v>166</v>
      </c>
      <c r="J632" s="49">
        <f>60*26*12</f>
        <v>18720</v>
      </c>
      <c r="K632" s="13" t="s">
        <v>1312</v>
      </c>
      <c r="L632" s="22">
        <v>636480000</v>
      </c>
      <c r="M632" s="46"/>
      <c r="N632" s="17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</row>
    <row r="633" spans="1:67" s="3" customFormat="1" x14ac:dyDescent="0.2">
      <c r="A633" s="14" t="s">
        <v>2986</v>
      </c>
      <c r="B633" s="14" t="s">
        <v>18</v>
      </c>
      <c r="C633" s="14">
        <v>2025</v>
      </c>
      <c r="D633" s="14" t="str">
        <f t="array" ref="D633">_xlfn.SWITCH(E633,"Bagor","35.18.14","Sukomoro",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3" s="13" t="s">
        <v>7</v>
      </c>
      <c r="F633" s="25" t="s">
        <v>1320</v>
      </c>
      <c r="G633" s="25" t="s">
        <v>1321</v>
      </c>
      <c r="H633" s="13" t="s">
        <v>9</v>
      </c>
      <c r="I633" s="14" t="s">
        <v>1101</v>
      </c>
      <c r="J633" s="49">
        <v>132</v>
      </c>
      <c r="K633" s="13" t="s">
        <v>1102</v>
      </c>
      <c r="L633" s="22">
        <v>79200000</v>
      </c>
      <c r="M633" s="46"/>
      <c r="N633" s="17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</row>
    <row r="634" spans="1:67" s="3" customFormat="1" x14ac:dyDescent="0.2">
      <c r="A634" s="14" t="s">
        <v>2986</v>
      </c>
      <c r="B634" s="14" t="s">
        <v>18</v>
      </c>
      <c r="C634" s="14">
        <v>2025</v>
      </c>
      <c r="D634" s="14" t="str">
        <f t="array" ref="D634">_xlfn.SWITCH(E634,"Bagor","35.18.14","Sukomoro",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4" s="13" t="s">
        <v>7</v>
      </c>
      <c r="F634" s="25" t="s">
        <v>1320</v>
      </c>
      <c r="G634" s="25" t="s">
        <v>1322</v>
      </c>
      <c r="H634" s="13" t="s">
        <v>9</v>
      </c>
      <c r="I634" s="14" t="s">
        <v>1101</v>
      </c>
      <c r="J634" s="49">
        <f>20*12</f>
        <v>240</v>
      </c>
      <c r="K634" s="13" t="s">
        <v>1102</v>
      </c>
      <c r="L634" s="22">
        <v>144000000</v>
      </c>
      <c r="M634" s="46"/>
      <c r="N634" s="17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</row>
    <row r="635" spans="1:67" s="3" customFormat="1" x14ac:dyDescent="0.2">
      <c r="A635" s="14" t="s">
        <v>2986</v>
      </c>
      <c r="B635" s="14" t="s">
        <v>18</v>
      </c>
      <c r="C635" s="14">
        <v>2025</v>
      </c>
      <c r="D635" s="14" t="str">
        <f t="array" ref="D635">_xlfn.SWITCH(E635,"Bagor","35.18.14","Sukomoro",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5" s="13" t="s">
        <v>7</v>
      </c>
      <c r="F635" s="25" t="s">
        <v>1320</v>
      </c>
      <c r="G635" s="25" t="s">
        <v>1323</v>
      </c>
      <c r="H635" s="13" t="s">
        <v>9</v>
      </c>
      <c r="I635" s="14" t="s">
        <v>1101</v>
      </c>
      <c r="J635" s="49">
        <f>25*12</f>
        <v>300</v>
      </c>
      <c r="K635" s="13" t="s">
        <v>1102</v>
      </c>
      <c r="L635" s="22">
        <v>180000000</v>
      </c>
      <c r="M635" s="46"/>
      <c r="N635" s="17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</row>
    <row r="636" spans="1:67" s="3" customFormat="1" x14ac:dyDescent="0.2">
      <c r="A636" s="14" t="s">
        <v>2986</v>
      </c>
      <c r="B636" s="14" t="s">
        <v>18</v>
      </c>
      <c r="C636" s="14">
        <v>2025</v>
      </c>
      <c r="D636" s="14" t="str">
        <f t="array" ref="D636">_xlfn.SWITCH(E636,"Bagor","35.18.14","Sukomoro",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6" s="13" t="s">
        <v>7</v>
      </c>
      <c r="F636" s="25" t="s">
        <v>1320</v>
      </c>
      <c r="G636" s="25" t="s">
        <v>1226</v>
      </c>
      <c r="H636" s="13" t="s">
        <v>9</v>
      </c>
      <c r="I636" s="14" t="s">
        <v>1101</v>
      </c>
      <c r="J636" s="49">
        <f>14*12</f>
        <v>168</v>
      </c>
      <c r="K636" s="13" t="s">
        <v>1102</v>
      </c>
      <c r="L636" s="22">
        <v>126000000</v>
      </c>
      <c r="M636" s="46"/>
      <c r="N636" s="17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</row>
    <row r="637" spans="1:67" s="3" customFormat="1" x14ac:dyDescent="0.2">
      <c r="A637" s="14" t="s">
        <v>2986</v>
      </c>
      <c r="B637" s="14" t="s">
        <v>18</v>
      </c>
      <c r="C637" s="14">
        <v>2025</v>
      </c>
      <c r="D637" s="14" t="str">
        <f t="array" ref="D637">_xlfn.SWITCH(E637,"Bagor","35.18.14","Sukomoro",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7" s="13" t="s">
        <v>7</v>
      </c>
      <c r="F637" s="25" t="s">
        <v>1320</v>
      </c>
      <c r="G637" s="25" t="s">
        <v>1324</v>
      </c>
      <c r="H637" s="13" t="s">
        <v>9</v>
      </c>
      <c r="I637" s="14" t="s">
        <v>1101</v>
      </c>
      <c r="J637" s="49">
        <f>24*12</f>
        <v>288</v>
      </c>
      <c r="K637" s="13" t="s">
        <v>1102</v>
      </c>
      <c r="L637" s="22">
        <v>172800000</v>
      </c>
      <c r="M637" s="46"/>
      <c r="N637" s="17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</row>
    <row r="638" spans="1:67" s="3" customFormat="1" x14ac:dyDescent="0.2">
      <c r="A638" s="14" t="s">
        <v>2986</v>
      </c>
      <c r="B638" s="14" t="s">
        <v>18</v>
      </c>
      <c r="C638" s="14">
        <v>2025</v>
      </c>
      <c r="D638" s="14" t="str">
        <f t="array" ref="D638">_xlfn.SWITCH(E638,"Bagor","35.18.14","Sukomoro",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8" s="13" t="s">
        <v>7</v>
      </c>
      <c r="F638" s="25" t="s">
        <v>1320</v>
      </c>
      <c r="G638" s="25" t="s">
        <v>1325</v>
      </c>
      <c r="H638" s="13" t="s">
        <v>9</v>
      </c>
      <c r="I638" s="14" t="s">
        <v>1101</v>
      </c>
      <c r="J638" s="49">
        <f>7*12</f>
        <v>84</v>
      </c>
      <c r="K638" s="13" t="s">
        <v>1102</v>
      </c>
      <c r="L638" s="22">
        <v>50400000</v>
      </c>
      <c r="M638" s="46"/>
      <c r="N638" s="17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</row>
    <row r="639" spans="1:67" s="3" customFormat="1" x14ac:dyDescent="0.2">
      <c r="A639" s="14" t="s">
        <v>2986</v>
      </c>
      <c r="B639" s="14" t="s">
        <v>18</v>
      </c>
      <c r="C639" s="14">
        <v>2025</v>
      </c>
      <c r="D639" s="14" t="str">
        <f t="array" ref="D639">_xlfn.SWITCH(E639,"Bagor","35.18.14","Sukomoro",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9" s="13" t="s">
        <v>7</v>
      </c>
      <c r="F639" s="25" t="s">
        <v>1320</v>
      </c>
      <c r="G639" s="25" t="s">
        <v>1326</v>
      </c>
      <c r="H639" s="13" t="s">
        <v>9</v>
      </c>
      <c r="I639" s="14" t="s">
        <v>1101</v>
      </c>
      <c r="J639" s="49">
        <f>10*12</f>
        <v>120</v>
      </c>
      <c r="K639" s="13" t="s">
        <v>1102</v>
      </c>
      <c r="L639" s="22">
        <v>90000000</v>
      </c>
      <c r="M639" s="46"/>
      <c r="N639" s="17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</row>
    <row r="640" spans="1:67" s="3" customFormat="1" x14ac:dyDescent="0.2">
      <c r="A640" s="14" t="s">
        <v>2986</v>
      </c>
      <c r="B640" s="14" t="s">
        <v>18</v>
      </c>
      <c r="C640" s="14">
        <v>2025</v>
      </c>
      <c r="D640" s="14" t="str">
        <f t="array" ref="D640">_xlfn.SWITCH(E640,"Bagor","35.18.14","Sukomoro",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0" s="13" t="s">
        <v>7</v>
      </c>
      <c r="F640" s="25" t="s">
        <v>1320</v>
      </c>
      <c r="G640" s="25" t="s">
        <v>1327</v>
      </c>
      <c r="H640" s="13" t="s">
        <v>9</v>
      </c>
      <c r="I640" s="14" t="s">
        <v>1101</v>
      </c>
      <c r="J640" s="49">
        <f>15*12</f>
        <v>180</v>
      </c>
      <c r="K640" s="13" t="s">
        <v>1102</v>
      </c>
      <c r="L640" s="22">
        <v>108000000</v>
      </c>
      <c r="M640" s="46"/>
      <c r="N640" s="17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</row>
    <row r="641" spans="1:67" s="3" customFormat="1" x14ac:dyDescent="0.2">
      <c r="A641" s="14" t="s">
        <v>2986</v>
      </c>
      <c r="B641" s="14" t="s">
        <v>18</v>
      </c>
      <c r="C641" s="14">
        <v>2025</v>
      </c>
      <c r="D641" s="14" t="str">
        <f t="array" ref="D641">_xlfn.SWITCH(E641,"Bagor","35.18.14","Sukomoro",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1" s="13" t="s">
        <v>7</v>
      </c>
      <c r="F641" s="25" t="s">
        <v>1320</v>
      </c>
      <c r="G641" s="25" t="s">
        <v>1328</v>
      </c>
      <c r="H641" s="13" t="s">
        <v>9</v>
      </c>
      <c r="I641" s="14" t="s">
        <v>1101</v>
      </c>
      <c r="J641" s="49">
        <f>30*12</f>
        <v>360</v>
      </c>
      <c r="K641" s="13" t="s">
        <v>1102</v>
      </c>
      <c r="L641" s="22">
        <v>216000000</v>
      </c>
      <c r="M641" s="46"/>
      <c r="N641" s="17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</row>
    <row r="642" spans="1:67" s="3" customFormat="1" x14ac:dyDescent="0.2">
      <c r="A642" s="14" t="s">
        <v>2986</v>
      </c>
      <c r="B642" s="14" t="s">
        <v>18</v>
      </c>
      <c r="C642" s="14">
        <v>2025</v>
      </c>
      <c r="D642" s="14" t="str">
        <f t="array" ref="D642">_xlfn.SWITCH(E642,"Bagor","35.18.14","Sukomoro",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2" s="13" t="s">
        <v>7</v>
      </c>
      <c r="F642" s="25" t="s">
        <v>1320</v>
      </c>
      <c r="G642" s="25" t="s">
        <v>1329</v>
      </c>
      <c r="H642" s="13" t="s">
        <v>20</v>
      </c>
      <c r="I642" s="14" t="s">
        <v>1101</v>
      </c>
      <c r="J642" s="49">
        <f>8*12</f>
        <v>96</v>
      </c>
      <c r="K642" s="13" t="s">
        <v>1102</v>
      </c>
      <c r="L642" s="22">
        <v>172800000</v>
      </c>
      <c r="M642" s="46"/>
      <c r="N642" s="17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</row>
    <row r="643" spans="1:67" s="3" customFormat="1" x14ac:dyDescent="0.2">
      <c r="A643" s="14" t="s">
        <v>2986</v>
      </c>
      <c r="B643" s="14" t="s">
        <v>18</v>
      </c>
      <c r="C643" s="14">
        <v>2025</v>
      </c>
      <c r="D643" s="14" t="str">
        <f t="array" ref="D643">_xlfn.SWITCH(E643,"Bagor","35.18.14","Sukomoro",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3" s="13" t="s">
        <v>7</v>
      </c>
      <c r="F643" s="25" t="s">
        <v>1320</v>
      </c>
      <c r="G643" s="25" t="s">
        <v>1330</v>
      </c>
      <c r="H643" s="13" t="s">
        <v>9</v>
      </c>
      <c r="I643" s="14" t="s">
        <v>1101</v>
      </c>
      <c r="J643" s="49">
        <f>4*12</f>
        <v>48</v>
      </c>
      <c r="K643" s="13" t="s">
        <v>1102</v>
      </c>
      <c r="L643" s="22">
        <v>120000000</v>
      </c>
      <c r="M643" s="46"/>
      <c r="N643" s="17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</row>
    <row r="644" spans="1:67" s="3" customFormat="1" x14ac:dyDescent="0.2">
      <c r="A644" s="14" t="s">
        <v>2986</v>
      </c>
      <c r="B644" s="14" t="s">
        <v>18</v>
      </c>
      <c r="C644" s="14">
        <v>2025</v>
      </c>
      <c r="D644" s="14" t="str">
        <f t="array" ref="D644">_xlfn.SWITCH(E644,"Bagor","35.18.14","Sukomoro",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4" s="13" t="s">
        <v>7</v>
      </c>
      <c r="F644" s="25" t="s">
        <v>1320</v>
      </c>
      <c r="G644" s="25" t="s">
        <v>1331</v>
      </c>
      <c r="H644" s="13" t="s">
        <v>9</v>
      </c>
      <c r="I644" s="14" t="s">
        <v>1101</v>
      </c>
      <c r="J644" s="49">
        <f>8*12</f>
        <v>96</v>
      </c>
      <c r="K644" s="13" t="s">
        <v>1102</v>
      </c>
      <c r="L644" s="22">
        <v>105600000</v>
      </c>
      <c r="M644" s="46"/>
      <c r="N644" s="17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</row>
    <row r="645" spans="1:67" s="3" customFormat="1" x14ac:dyDescent="0.2">
      <c r="A645" s="14" t="s">
        <v>2986</v>
      </c>
      <c r="B645" s="14" t="s">
        <v>18</v>
      </c>
      <c r="C645" s="14">
        <v>2025</v>
      </c>
      <c r="D645" s="14" t="str">
        <f t="array" ref="D645">_xlfn.SWITCH(E645,"Bagor","35.18.14","Sukomoro",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5" s="13" t="s">
        <v>7</v>
      </c>
      <c r="F645" s="25" t="s">
        <v>1320</v>
      </c>
      <c r="G645" s="25" t="s">
        <v>1332</v>
      </c>
      <c r="H645" s="13" t="s">
        <v>9</v>
      </c>
      <c r="I645" s="14" t="s">
        <v>1101</v>
      </c>
      <c r="J645" s="49">
        <f>7*12</f>
        <v>84</v>
      </c>
      <c r="K645" s="13" t="s">
        <v>1102</v>
      </c>
      <c r="L645" s="22">
        <v>42000000</v>
      </c>
      <c r="M645" s="46"/>
      <c r="N645" s="17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</row>
    <row r="646" spans="1:67" s="3" customFormat="1" x14ac:dyDescent="0.2">
      <c r="A646" s="14" t="s">
        <v>2986</v>
      </c>
      <c r="B646" s="14" t="s">
        <v>18</v>
      </c>
      <c r="C646" s="14">
        <v>2025</v>
      </c>
      <c r="D646" s="14" t="str">
        <f t="array" ref="D646">_xlfn.SWITCH(E646,"Bagor","35.18.14","Sukomoro",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6" s="13" t="s">
        <v>7</v>
      </c>
      <c r="F646" s="25" t="s">
        <v>1320</v>
      </c>
      <c r="G646" s="25" t="s">
        <v>1333</v>
      </c>
      <c r="H646" s="13" t="s">
        <v>9</v>
      </c>
      <c r="I646" s="14" t="s">
        <v>1101</v>
      </c>
      <c r="J646" s="49">
        <f>7*12</f>
        <v>84</v>
      </c>
      <c r="K646" s="13" t="s">
        <v>1102</v>
      </c>
      <c r="L646" s="22">
        <v>37800000</v>
      </c>
      <c r="M646" s="46"/>
      <c r="N646" s="17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</row>
    <row r="647" spans="1:67" s="3" customFormat="1" x14ac:dyDescent="0.2">
      <c r="A647" s="14" t="s">
        <v>2986</v>
      </c>
      <c r="B647" s="14" t="s">
        <v>18</v>
      </c>
      <c r="C647" s="14">
        <v>2025</v>
      </c>
      <c r="D647" s="14" t="str">
        <f t="array" ref="D647">_xlfn.SWITCH(E647,"Bagor","35.18.14","Sukomoro",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7" s="13" t="s">
        <v>7</v>
      </c>
      <c r="F647" s="25" t="s">
        <v>1320</v>
      </c>
      <c r="G647" s="25" t="s">
        <v>1334</v>
      </c>
      <c r="H647" s="13" t="s">
        <v>9</v>
      </c>
      <c r="I647" s="14" t="s">
        <v>1101</v>
      </c>
      <c r="J647" s="49">
        <f>9*12</f>
        <v>108</v>
      </c>
      <c r="K647" s="13" t="s">
        <v>1102</v>
      </c>
      <c r="L647" s="22">
        <v>81000000</v>
      </c>
      <c r="M647" s="46"/>
      <c r="N647" s="17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</row>
    <row r="648" spans="1:67" s="3" customFormat="1" x14ac:dyDescent="0.2">
      <c r="A648" s="14" t="s">
        <v>2986</v>
      </c>
      <c r="B648" s="14" t="s">
        <v>18</v>
      </c>
      <c r="C648" s="14">
        <v>2025</v>
      </c>
      <c r="D648" s="14" t="str">
        <f t="array" ref="D648">_xlfn.SWITCH(E648,"Bagor","35.18.14","Sukomoro",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8" s="13" t="s">
        <v>7</v>
      </c>
      <c r="F648" s="25" t="s">
        <v>1320</v>
      </c>
      <c r="G648" s="25" t="s">
        <v>1335</v>
      </c>
      <c r="H648" s="13" t="s">
        <v>20</v>
      </c>
      <c r="I648" s="14" t="s">
        <v>1101</v>
      </c>
      <c r="J648" s="49">
        <f>6*12</f>
        <v>72</v>
      </c>
      <c r="K648" s="13" t="s">
        <v>1102</v>
      </c>
      <c r="L648" s="22">
        <v>93600000</v>
      </c>
      <c r="M648" s="46"/>
      <c r="N648" s="17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</row>
    <row r="649" spans="1:67" s="3" customFormat="1" x14ac:dyDescent="0.2">
      <c r="A649" s="14" t="s">
        <v>2986</v>
      </c>
      <c r="B649" s="14" t="s">
        <v>18</v>
      </c>
      <c r="C649" s="14">
        <v>2025</v>
      </c>
      <c r="D649" s="14" t="str">
        <f t="array" ref="D649">_xlfn.SWITCH(E649,"Bagor","35.18.14","Sukomoro",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9" s="13" t="s">
        <v>7</v>
      </c>
      <c r="F649" s="25" t="s">
        <v>1320</v>
      </c>
      <c r="G649" s="25" t="s">
        <v>1336</v>
      </c>
      <c r="H649" s="13" t="s">
        <v>20</v>
      </c>
      <c r="I649" s="14" t="s">
        <v>1101</v>
      </c>
      <c r="J649" s="49">
        <f>7*12</f>
        <v>84</v>
      </c>
      <c r="K649" s="13" t="s">
        <v>1102</v>
      </c>
      <c r="L649" s="22">
        <v>79800000</v>
      </c>
      <c r="M649" s="46"/>
      <c r="N649" s="17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</row>
    <row r="650" spans="1:67" s="3" customFormat="1" x14ac:dyDescent="0.2">
      <c r="A650" s="14" t="s">
        <v>2986</v>
      </c>
      <c r="B650" s="14" t="s">
        <v>18</v>
      </c>
      <c r="C650" s="14">
        <v>2025</v>
      </c>
      <c r="D650" s="14" t="str">
        <f t="array" ref="D650">_xlfn.SWITCH(E650,"Bagor","35.18.14","Sukomoro",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0" s="13" t="s">
        <v>7</v>
      </c>
      <c r="F650" s="25" t="s">
        <v>1320</v>
      </c>
      <c r="G650" s="25" t="s">
        <v>1337</v>
      </c>
      <c r="H650" s="13" t="s">
        <v>9</v>
      </c>
      <c r="I650" s="14" t="s">
        <v>1101</v>
      </c>
      <c r="J650" s="49">
        <f>10*12</f>
        <v>120</v>
      </c>
      <c r="K650" s="13" t="s">
        <v>1102</v>
      </c>
      <c r="L650" s="22">
        <v>132000000</v>
      </c>
      <c r="M650" s="46"/>
      <c r="N650" s="17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</row>
    <row r="651" spans="1:67" s="3" customFormat="1" x14ac:dyDescent="0.2">
      <c r="A651" s="14" t="s">
        <v>2986</v>
      </c>
      <c r="B651" s="14" t="s">
        <v>18</v>
      </c>
      <c r="C651" s="14">
        <v>2025</v>
      </c>
      <c r="D651" s="14" t="str">
        <f t="array" ref="D651">_xlfn.SWITCH(E651,"Bagor","35.18.14","Sukomoro",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1" s="13" t="s">
        <v>7</v>
      </c>
      <c r="F651" s="25" t="s">
        <v>1320</v>
      </c>
      <c r="G651" s="25" t="s">
        <v>1338</v>
      </c>
      <c r="H651" s="13" t="s">
        <v>9</v>
      </c>
      <c r="I651" s="14" t="s">
        <v>1101</v>
      </c>
      <c r="J651" s="49">
        <f>7*12</f>
        <v>84</v>
      </c>
      <c r="K651" s="13" t="s">
        <v>1102</v>
      </c>
      <c r="L651" s="22">
        <v>75600000</v>
      </c>
      <c r="M651" s="46"/>
      <c r="N651" s="17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</row>
    <row r="652" spans="1:67" s="3" customFormat="1" x14ac:dyDescent="0.2">
      <c r="A652" s="14" t="s">
        <v>2986</v>
      </c>
      <c r="B652" s="14" t="s">
        <v>18</v>
      </c>
      <c r="C652" s="14">
        <v>2025</v>
      </c>
      <c r="D652" s="14" t="str">
        <f t="array" ref="D652">_xlfn.SWITCH(E652,"Bagor","35.18.14","Sukomoro",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2" s="13" t="s">
        <v>7</v>
      </c>
      <c r="F652" s="25" t="s">
        <v>1320</v>
      </c>
      <c r="G652" s="25" t="s">
        <v>1339</v>
      </c>
      <c r="H652" s="13" t="s">
        <v>20</v>
      </c>
      <c r="I652" s="14" t="s">
        <v>1101</v>
      </c>
      <c r="J652" s="49">
        <f>22*12</f>
        <v>264</v>
      </c>
      <c r="K652" s="13" t="s">
        <v>1102</v>
      </c>
      <c r="L652" s="22">
        <v>250800000</v>
      </c>
      <c r="M652" s="46"/>
      <c r="N652" s="17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</row>
    <row r="653" spans="1:67" s="3" customFormat="1" x14ac:dyDescent="0.2">
      <c r="A653" s="14" t="s">
        <v>2986</v>
      </c>
      <c r="B653" s="14" t="s">
        <v>18</v>
      </c>
      <c r="C653" s="14">
        <v>2025</v>
      </c>
      <c r="D653" s="14" t="str">
        <f t="array" ref="D653">_xlfn.SWITCH(E653,"Bagor","35.18.14","Sukomoro",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3" s="13" t="s">
        <v>7</v>
      </c>
      <c r="F653" s="25" t="s">
        <v>1320</v>
      </c>
      <c r="G653" s="25" t="s">
        <v>1340</v>
      </c>
      <c r="H653" s="13" t="s">
        <v>9</v>
      </c>
      <c r="I653" s="14" t="s">
        <v>1101</v>
      </c>
      <c r="J653" s="49">
        <f>3*12</f>
        <v>36</v>
      </c>
      <c r="K653" s="13" t="s">
        <v>1102</v>
      </c>
      <c r="L653" s="22">
        <v>25200000</v>
      </c>
      <c r="M653" s="46"/>
      <c r="N653" s="17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</row>
    <row r="654" spans="1:67" s="3" customFormat="1" x14ac:dyDescent="0.2">
      <c r="A654" s="14" t="s">
        <v>2986</v>
      </c>
      <c r="B654" s="14" t="s">
        <v>18</v>
      </c>
      <c r="C654" s="14">
        <v>2025</v>
      </c>
      <c r="D654" s="14" t="str">
        <f t="array" ref="D654">_xlfn.SWITCH(E654,"Bagor","35.18.14","Sukomoro",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4" s="13" t="s">
        <v>7</v>
      </c>
      <c r="F654" s="25" t="s">
        <v>1320</v>
      </c>
      <c r="G654" s="25" t="s">
        <v>1341</v>
      </c>
      <c r="H654" s="13" t="s">
        <v>9</v>
      </c>
      <c r="I654" s="14" t="s">
        <v>1101</v>
      </c>
      <c r="J654" s="49">
        <f>20*12</f>
        <v>240</v>
      </c>
      <c r="K654" s="13" t="s">
        <v>1102</v>
      </c>
      <c r="L654" s="22">
        <v>168000000</v>
      </c>
      <c r="M654" s="46"/>
      <c r="N654" s="17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</row>
    <row r="655" spans="1:67" s="3" customFormat="1" x14ac:dyDescent="0.2">
      <c r="A655" s="14" t="s">
        <v>2986</v>
      </c>
      <c r="B655" s="14" t="s">
        <v>18</v>
      </c>
      <c r="C655" s="14">
        <v>2025</v>
      </c>
      <c r="D655" s="14" t="str">
        <f t="array" ref="D655">_xlfn.SWITCH(E655,"Bagor","35.18.14","Sukomoro",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5" s="13" t="s">
        <v>7</v>
      </c>
      <c r="F655" s="25" t="s">
        <v>1320</v>
      </c>
      <c r="G655" s="25" t="s">
        <v>1342</v>
      </c>
      <c r="H655" s="13" t="s">
        <v>9</v>
      </c>
      <c r="I655" s="14" t="s">
        <v>1101</v>
      </c>
      <c r="J655" s="49">
        <f>12*12</f>
        <v>144</v>
      </c>
      <c r="K655" s="13" t="s">
        <v>1102</v>
      </c>
      <c r="L655" s="22">
        <v>122400000</v>
      </c>
      <c r="M655" s="46"/>
      <c r="N655" s="17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</row>
    <row r="656" spans="1:67" s="3" customFormat="1" x14ac:dyDescent="0.2">
      <c r="A656" s="14" t="s">
        <v>2986</v>
      </c>
      <c r="B656" s="14" t="s">
        <v>18</v>
      </c>
      <c r="C656" s="14">
        <v>2025</v>
      </c>
      <c r="D656" s="14" t="str">
        <f t="array" ref="D656">_xlfn.SWITCH(E656,"Bagor","35.18.14","Sukomoro",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6" s="13" t="s">
        <v>7</v>
      </c>
      <c r="F656" s="25" t="s">
        <v>1320</v>
      </c>
      <c r="G656" s="25" t="s">
        <v>1343</v>
      </c>
      <c r="H656" s="13" t="s">
        <v>9</v>
      </c>
      <c r="I656" s="14" t="s">
        <v>1101</v>
      </c>
      <c r="J656" s="49">
        <f>15*12</f>
        <v>180</v>
      </c>
      <c r="K656" s="13" t="s">
        <v>1102</v>
      </c>
      <c r="L656" s="22">
        <v>135000000</v>
      </c>
      <c r="M656" s="46"/>
      <c r="N656" s="17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</row>
    <row r="657" spans="1:67" s="3" customFormat="1" x14ac:dyDescent="0.2">
      <c r="A657" s="14" t="s">
        <v>2986</v>
      </c>
      <c r="B657" s="14" t="s">
        <v>18</v>
      </c>
      <c r="C657" s="14">
        <v>2025</v>
      </c>
      <c r="D657" s="14" t="str">
        <f t="array" ref="D657">_xlfn.SWITCH(E657,"Bagor","35.18.14","Sukomoro",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7" s="13" t="s">
        <v>7</v>
      </c>
      <c r="F657" s="25" t="s">
        <v>1320</v>
      </c>
      <c r="G657" s="25" t="s">
        <v>1344</v>
      </c>
      <c r="H657" s="13" t="s">
        <v>9</v>
      </c>
      <c r="I657" s="14" t="s">
        <v>1101</v>
      </c>
      <c r="J657" s="49">
        <f>13*12</f>
        <v>156</v>
      </c>
      <c r="K657" s="13" t="s">
        <v>1102</v>
      </c>
      <c r="L657" s="22">
        <v>70200000</v>
      </c>
      <c r="M657" s="46"/>
      <c r="N657" s="17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</row>
    <row r="658" spans="1:67" s="3" customFormat="1" x14ac:dyDescent="0.2">
      <c r="A658" s="14" t="s">
        <v>2986</v>
      </c>
      <c r="B658" s="14" t="s">
        <v>18</v>
      </c>
      <c r="C658" s="14">
        <v>2025</v>
      </c>
      <c r="D658" s="14" t="str">
        <f t="array" ref="D658">_xlfn.SWITCH(E658,"Bagor","35.18.14","Sukomoro",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8" s="13" t="s">
        <v>7</v>
      </c>
      <c r="F658" s="25" t="s">
        <v>1320</v>
      </c>
      <c r="G658" s="25" t="s">
        <v>1345</v>
      </c>
      <c r="H658" s="13" t="s">
        <v>20</v>
      </c>
      <c r="I658" s="14" t="s">
        <v>1101</v>
      </c>
      <c r="J658" s="49">
        <f>9*12</f>
        <v>108</v>
      </c>
      <c r="K658" s="13" t="s">
        <v>1102</v>
      </c>
      <c r="L658" s="22">
        <v>270000000</v>
      </c>
      <c r="M658" s="46"/>
      <c r="N658" s="17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</row>
    <row r="659" spans="1:67" s="3" customFormat="1" x14ac:dyDescent="0.2">
      <c r="A659" s="14" t="s">
        <v>2986</v>
      </c>
      <c r="B659" s="14" t="s">
        <v>18</v>
      </c>
      <c r="C659" s="14">
        <v>2025</v>
      </c>
      <c r="D659" s="14" t="str">
        <f t="array" ref="D659">_xlfn.SWITCH(E659,"Bagor","35.18.14","Sukomoro",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9" s="13" t="s">
        <v>7</v>
      </c>
      <c r="F659" s="25" t="s">
        <v>1320</v>
      </c>
      <c r="G659" s="25" t="s">
        <v>1346</v>
      </c>
      <c r="H659" s="13" t="s">
        <v>20</v>
      </c>
      <c r="I659" s="14" t="s">
        <v>1101</v>
      </c>
      <c r="J659" s="49">
        <f>14*12</f>
        <v>168</v>
      </c>
      <c r="K659" s="13" t="s">
        <v>1102</v>
      </c>
      <c r="L659" s="22">
        <v>235200000</v>
      </c>
      <c r="M659" s="46"/>
      <c r="N659" s="17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</row>
    <row r="660" spans="1:67" s="3" customFormat="1" x14ac:dyDescent="0.2">
      <c r="A660" s="14" t="s">
        <v>2986</v>
      </c>
      <c r="B660" s="14" t="s">
        <v>18</v>
      </c>
      <c r="C660" s="14">
        <v>2025</v>
      </c>
      <c r="D660" s="14" t="str">
        <f t="array" ref="D660">_xlfn.SWITCH(E660,"Bagor","35.18.14","Sukomoro",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0" s="13" t="s">
        <v>7</v>
      </c>
      <c r="F660" s="25" t="s">
        <v>1320</v>
      </c>
      <c r="G660" s="25" t="s">
        <v>1347</v>
      </c>
      <c r="H660" s="13" t="s">
        <v>9</v>
      </c>
      <c r="I660" s="14" t="s">
        <v>1101</v>
      </c>
      <c r="J660" s="49">
        <f>4*12</f>
        <v>48</v>
      </c>
      <c r="K660" s="13" t="s">
        <v>1102</v>
      </c>
      <c r="L660" s="22">
        <v>42240000</v>
      </c>
      <c r="M660" s="46"/>
      <c r="N660" s="17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</row>
    <row r="661" spans="1:67" s="3" customFormat="1" x14ac:dyDescent="0.2">
      <c r="A661" s="14" t="s">
        <v>2986</v>
      </c>
      <c r="B661" s="14" t="s">
        <v>18</v>
      </c>
      <c r="C661" s="14">
        <v>2025</v>
      </c>
      <c r="D661" s="14" t="str">
        <f t="array" ref="D661">_xlfn.SWITCH(E661,"Bagor","35.18.14","Sukomoro",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1" s="13" t="s">
        <v>7</v>
      </c>
      <c r="F661" s="25" t="s">
        <v>1320</v>
      </c>
      <c r="G661" s="25" t="s">
        <v>1348</v>
      </c>
      <c r="H661" s="13" t="s">
        <v>9</v>
      </c>
      <c r="I661" s="14" t="s">
        <v>1101</v>
      </c>
      <c r="J661" s="49">
        <f>14*12</f>
        <v>168</v>
      </c>
      <c r="K661" s="13" t="s">
        <v>1102</v>
      </c>
      <c r="L661" s="22">
        <v>75600000</v>
      </c>
      <c r="M661" s="46"/>
      <c r="N661" s="17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</row>
    <row r="662" spans="1:67" s="3" customFormat="1" x14ac:dyDescent="0.2">
      <c r="A662" s="14" t="s">
        <v>2986</v>
      </c>
      <c r="B662" s="14" t="s">
        <v>18</v>
      </c>
      <c r="C662" s="14">
        <v>2025</v>
      </c>
      <c r="D662" s="14" t="str">
        <f t="array" ref="D662">_xlfn.SWITCH(E662,"Bagor","35.18.14","Sukomoro",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2" s="13" t="s">
        <v>7</v>
      </c>
      <c r="F662" s="25" t="s">
        <v>1320</v>
      </c>
      <c r="G662" s="25" t="s">
        <v>1349</v>
      </c>
      <c r="H662" s="13" t="s">
        <v>9</v>
      </c>
      <c r="I662" s="14" t="s">
        <v>1101</v>
      </c>
      <c r="J662" s="49">
        <f>10*12</f>
        <v>120</v>
      </c>
      <c r="K662" s="13" t="s">
        <v>1102</v>
      </c>
      <c r="L662" s="22">
        <v>180000000</v>
      </c>
      <c r="M662" s="46"/>
      <c r="N662" s="17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</row>
    <row r="663" spans="1:67" s="3" customFormat="1" x14ac:dyDescent="0.2">
      <c r="A663" s="14" t="s">
        <v>2986</v>
      </c>
      <c r="B663" s="14" t="s">
        <v>18</v>
      </c>
      <c r="C663" s="14">
        <v>2025</v>
      </c>
      <c r="D663" s="14" t="str">
        <f t="array" ref="D663">_xlfn.SWITCH(E663,"Bagor","35.18.14","Sukomoro",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3" s="13" t="s">
        <v>7</v>
      </c>
      <c r="F663" s="25" t="s">
        <v>1320</v>
      </c>
      <c r="G663" s="25" t="s">
        <v>1350</v>
      </c>
      <c r="H663" s="13" t="s">
        <v>20</v>
      </c>
      <c r="I663" s="14" t="s">
        <v>1101</v>
      </c>
      <c r="J663" s="49">
        <f>11*12</f>
        <v>132</v>
      </c>
      <c r="K663" s="13" t="s">
        <v>1102</v>
      </c>
      <c r="L663" s="22">
        <v>132000000</v>
      </c>
      <c r="M663" s="46"/>
      <c r="N663" s="17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</row>
    <row r="664" spans="1:67" s="3" customFormat="1" x14ac:dyDescent="0.2">
      <c r="A664" s="14" t="s">
        <v>2986</v>
      </c>
      <c r="B664" s="14" t="s">
        <v>18</v>
      </c>
      <c r="C664" s="14">
        <v>2025</v>
      </c>
      <c r="D664" s="14" t="str">
        <f t="array" ref="D664">_xlfn.SWITCH(E664,"Bagor","35.18.14","Sukomoro",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4" s="13" t="s">
        <v>7</v>
      </c>
      <c r="F664" s="25" t="s">
        <v>1320</v>
      </c>
      <c r="G664" s="25" t="s">
        <v>951</v>
      </c>
      <c r="H664" s="13" t="s">
        <v>20</v>
      </c>
      <c r="I664" s="14" t="s">
        <v>1101</v>
      </c>
      <c r="J664" s="49">
        <f>10*12</f>
        <v>120</v>
      </c>
      <c r="K664" s="13" t="s">
        <v>1102</v>
      </c>
      <c r="L664" s="22">
        <v>216000000</v>
      </c>
      <c r="M664" s="46"/>
      <c r="N664" s="17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</row>
    <row r="665" spans="1:67" s="3" customFormat="1" x14ac:dyDescent="0.2">
      <c r="A665" s="14" t="s">
        <v>2986</v>
      </c>
      <c r="B665" s="14" t="s">
        <v>18</v>
      </c>
      <c r="C665" s="14">
        <v>2025</v>
      </c>
      <c r="D665" s="14" t="str">
        <f t="array" ref="D665">_xlfn.SWITCH(E665,"Bagor","35.18.14","Sukomoro",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5" s="13" t="s">
        <v>7</v>
      </c>
      <c r="F665" s="25" t="s">
        <v>1320</v>
      </c>
      <c r="G665" s="25" t="s">
        <v>1351</v>
      </c>
      <c r="H665" s="13" t="s">
        <v>20</v>
      </c>
      <c r="I665" s="14" t="s">
        <v>1101</v>
      </c>
      <c r="J665" s="49">
        <f>3*12</f>
        <v>36</v>
      </c>
      <c r="K665" s="13" t="s">
        <v>1102</v>
      </c>
      <c r="L665" s="22">
        <v>126000000</v>
      </c>
      <c r="M665" s="46"/>
      <c r="N665" s="17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</row>
    <row r="666" spans="1:67" s="3" customFormat="1" x14ac:dyDescent="0.2">
      <c r="A666" s="14" t="s">
        <v>2986</v>
      </c>
      <c r="B666" s="14" t="s">
        <v>18</v>
      </c>
      <c r="C666" s="14">
        <v>2025</v>
      </c>
      <c r="D666" s="14" t="str">
        <f t="array" ref="D666">_xlfn.SWITCH(E666,"Bagor","35.18.14","Sukomoro",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6" s="13" t="s">
        <v>7</v>
      </c>
      <c r="F666" s="25" t="s">
        <v>1320</v>
      </c>
      <c r="G666" s="25" t="s">
        <v>1352</v>
      </c>
      <c r="H666" s="13" t="s">
        <v>9</v>
      </c>
      <c r="I666" s="14" t="s">
        <v>1101</v>
      </c>
      <c r="J666" s="49">
        <v>24</v>
      </c>
      <c r="K666" s="13" t="s">
        <v>1102</v>
      </c>
      <c r="L666" s="22">
        <v>36000000</v>
      </c>
      <c r="M666" s="46"/>
      <c r="N666" s="17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</row>
    <row r="667" spans="1:67" s="3" customFormat="1" x14ac:dyDescent="0.2">
      <c r="A667" s="14" t="s">
        <v>2986</v>
      </c>
      <c r="B667" s="14" t="s">
        <v>18</v>
      </c>
      <c r="C667" s="14">
        <v>2025</v>
      </c>
      <c r="D667" s="14" t="str">
        <f t="array" ref="D667">_xlfn.SWITCH(E667,"Bagor","35.18.14","Sukomoro",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7" s="13" t="s">
        <v>7</v>
      </c>
      <c r="F667" s="25" t="s">
        <v>1320</v>
      </c>
      <c r="G667" s="25" t="s">
        <v>1353</v>
      </c>
      <c r="H667" s="13" t="s">
        <v>20</v>
      </c>
      <c r="I667" s="14" t="s">
        <v>1101</v>
      </c>
      <c r="J667" s="49">
        <f>3*12</f>
        <v>36</v>
      </c>
      <c r="K667" s="13" t="s">
        <v>1102</v>
      </c>
      <c r="L667" s="22">
        <v>108000000</v>
      </c>
      <c r="M667" s="46"/>
      <c r="N667" s="17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</row>
    <row r="668" spans="1:67" s="3" customFormat="1" x14ac:dyDescent="0.2">
      <c r="A668" s="14" t="s">
        <v>2986</v>
      </c>
      <c r="B668" s="14" t="s">
        <v>18</v>
      </c>
      <c r="C668" s="14">
        <v>2025</v>
      </c>
      <c r="D668" s="14" t="str">
        <f t="array" ref="D668">_xlfn.SWITCH(E668,"Bagor","35.18.14","Sukomoro",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8" s="13" t="s">
        <v>7</v>
      </c>
      <c r="F668" s="25" t="s">
        <v>1320</v>
      </c>
      <c r="G668" s="25" t="s">
        <v>1354</v>
      </c>
      <c r="H668" s="13" t="s">
        <v>20</v>
      </c>
      <c r="I668" s="14" t="s">
        <v>1101</v>
      </c>
      <c r="J668" s="49">
        <f>25*12</f>
        <v>300</v>
      </c>
      <c r="K668" s="13" t="s">
        <v>1102</v>
      </c>
      <c r="L668" s="22">
        <v>285000000</v>
      </c>
      <c r="M668" s="46"/>
      <c r="N668" s="17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</row>
    <row r="669" spans="1:67" s="3" customFormat="1" x14ac:dyDescent="0.2">
      <c r="A669" s="14" t="s">
        <v>2986</v>
      </c>
      <c r="B669" s="14" t="s">
        <v>18</v>
      </c>
      <c r="C669" s="14">
        <v>2025</v>
      </c>
      <c r="D669" s="14" t="str">
        <f t="array" ref="D669">_xlfn.SWITCH(E669,"Bagor","35.18.14","Sukomoro",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9" s="13" t="s">
        <v>7</v>
      </c>
      <c r="F669" s="25" t="s">
        <v>1320</v>
      </c>
      <c r="G669" s="25" t="s">
        <v>1355</v>
      </c>
      <c r="H669" s="13" t="s">
        <v>9</v>
      </c>
      <c r="I669" s="14" t="s">
        <v>1101</v>
      </c>
      <c r="J669" s="49">
        <f>36*12</f>
        <v>432</v>
      </c>
      <c r="K669" s="13" t="s">
        <v>1102</v>
      </c>
      <c r="L669" s="22">
        <v>324000000</v>
      </c>
      <c r="M669" s="46"/>
      <c r="N669" s="17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</row>
    <row r="670" spans="1:67" s="3" customFormat="1" x14ac:dyDescent="0.2">
      <c r="A670" s="14" t="s">
        <v>2986</v>
      </c>
      <c r="B670" s="14" t="s">
        <v>18</v>
      </c>
      <c r="C670" s="14">
        <v>2025</v>
      </c>
      <c r="D670" s="14" t="str">
        <f t="array" ref="D670">_xlfn.SWITCH(E670,"Bagor","35.18.14","Sukomoro",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0" s="13" t="s">
        <v>7</v>
      </c>
      <c r="F670" s="25" t="s">
        <v>1320</v>
      </c>
      <c r="G670" s="25" t="s">
        <v>1356</v>
      </c>
      <c r="H670" s="13" t="s">
        <v>9</v>
      </c>
      <c r="I670" s="14" t="s">
        <v>1101</v>
      </c>
      <c r="J670" s="49">
        <f>10*12</f>
        <v>120</v>
      </c>
      <c r="K670" s="13" t="s">
        <v>1102</v>
      </c>
      <c r="L670" s="22">
        <v>180000000</v>
      </c>
      <c r="M670" s="46"/>
      <c r="N670" s="17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</row>
    <row r="671" spans="1:67" s="3" customFormat="1" x14ac:dyDescent="0.2">
      <c r="A671" s="14" t="s">
        <v>2986</v>
      </c>
      <c r="B671" s="14" t="s">
        <v>18</v>
      </c>
      <c r="C671" s="14">
        <v>2025</v>
      </c>
      <c r="D671" s="14" t="str">
        <f t="array" ref="D671">_xlfn.SWITCH(E671,"Bagor","35.18.14","Sukomoro",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1" s="13" t="s">
        <v>7</v>
      </c>
      <c r="F671" s="25" t="s">
        <v>1320</v>
      </c>
      <c r="G671" s="25" t="s">
        <v>1357</v>
      </c>
      <c r="H671" s="13" t="s">
        <v>9</v>
      </c>
      <c r="I671" s="14" t="s">
        <v>1101</v>
      </c>
      <c r="J671" s="49">
        <f>12*12</f>
        <v>144</v>
      </c>
      <c r="K671" s="13" t="s">
        <v>1102</v>
      </c>
      <c r="L671" s="22">
        <v>216000000</v>
      </c>
      <c r="M671" s="46"/>
      <c r="N671" s="17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</row>
    <row r="672" spans="1:67" s="3" customFormat="1" x14ac:dyDescent="0.2">
      <c r="A672" s="14" t="s">
        <v>2986</v>
      </c>
      <c r="B672" s="14" t="s">
        <v>18</v>
      </c>
      <c r="C672" s="14">
        <v>2025</v>
      </c>
      <c r="D672" s="14" t="str">
        <f t="array" ref="D672">_xlfn.SWITCH(E672,"Bagor","35.18.14","Sukomoro",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2" s="13" t="s">
        <v>7</v>
      </c>
      <c r="F672" s="25" t="s">
        <v>1320</v>
      </c>
      <c r="G672" s="25" t="s">
        <v>1358</v>
      </c>
      <c r="H672" s="13" t="s">
        <v>9</v>
      </c>
      <c r="I672" s="14" t="s">
        <v>1101</v>
      </c>
      <c r="J672" s="49">
        <f>17*12</f>
        <v>204</v>
      </c>
      <c r="K672" s="13" t="s">
        <v>1102</v>
      </c>
      <c r="L672" s="22">
        <v>193800000</v>
      </c>
      <c r="M672" s="46"/>
      <c r="N672" s="17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</row>
    <row r="673" spans="1:67" s="3" customFormat="1" x14ac:dyDescent="0.2">
      <c r="A673" s="14" t="s">
        <v>2986</v>
      </c>
      <c r="B673" s="14" t="s">
        <v>18</v>
      </c>
      <c r="C673" s="14">
        <v>2025</v>
      </c>
      <c r="D673" s="14" t="str">
        <f t="array" ref="D673">_xlfn.SWITCH(E673,"Bagor","35.18.14","Sukomoro",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3" s="13" t="s">
        <v>7</v>
      </c>
      <c r="F673" s="25" t="s">
        <v>1320</v>
      </c>
      <c r="G673" s="25" t="s">
        <v>1359</v>
      </c>
      <c r="H673" s="13" t="s">
        <v>9</v>
      </c>
      <c r="I673" s="14" t="s">
        <v>1101</v>
      </c>
      <c r="J673" s="49">
        <f>9*12</f>
        <v>108</v>
      </c>
      <c r="K673" s="13" t="s">
        <v>1102</v>
      </c>
      <c r="L673" s="22">
        <v>37800000</v>
      </c>
      <c r="M673" s="46"/>
      <c r="N673" s="17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</row>
    <row r="674" spans="1:67" s="3" customFormat="1" x14ac:dyDescent="0.2">
      <c r="A674" s="14" t="s">
        <v>2986</v>
      </c>
      <c r="B674" s="14" t="s">
        <v>18</v>
      </c>
      <c r="C674" s="14">
        <v>2025</v>
      </c>
      <c r="D674" s="14" t="str">
        <f t="array" ref="D674">_xlfn.SWITCH(E674,"Bagor","35.18.14","Sukomoro",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4" s="13" t="s">
        <v>7</v>
      </c>
      <c r="F674" s="25" t="s">
        <v>1320</v>
      </c>
      <c r="G674" s="25" t="s">
        <v>1360</v>
      </c>
      <c r="H674" s="13" t="s">
        <v>9</v>
      </c>
      <c r="I674" s="14" t="s">
        <v>1101</v>
      </c>
      <c r="J674" s="49">
        <f>16*12</f>
        <v>192</v>
      </c>
      <c r="K674" s="13" t="s">
        <v>1102</v>
      </c>
      <c r="L674" s="22">
        <v>249600000</v>
      </c>
      <c r="M674" s="46"/>
      <c r="N674" s="17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</row>
    <row r="675" spans="1:67" s="3" customFormat="1" ht="20" x14ac:dyDescent="0.2">
      <c r="A675" s="14" t="s">
        <v>2986</v>
      </c>
      <c r="B675" s="14" t="s">
        <v>18</v>
      </c>
      <c r="C675" s="14">
        <v>2025</v>
      </c>
      <c r="D675" s="14" t="str">
        <f t="array" ref="D675">_xlfn.SWITCH(E675,"Bagor","35.18.14","Sukomoro",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5" s="13" t="s">
        <v>7</v>
      </c>
      <c r="F675" s="25" t="s">
        <v>1361</v>
      </c>
      <c r="G675" s="25" t="s">
        <v>1362</v>
      </c>
      <c r="H675" s="13" t="s">
        <v>20</v>
      </c>
      <c r="I675" s="14" t="s">
        <v>1101</v>
      </c>
      <c r="J675" s="49">
        <f>4*12</f>
        <v>48</v>
      </c>
      <c r="K675" s="13" t="s">
        <v>34</v>
      </c>
      <c r="L675" s="22">
        <v>168000000</v>
      </c>
      <c r="M675" s="46"/>
      <c r="N675" s="17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</row>
    <row r="676" spans="1:67" s="3" customFormat="1" ht="20" x14ac:dyDescent="0.2">
      <c r="A676" s="14" t="s">
        <v>2986</v>
      </c>
      <c r="B676" s="14" t="s">
        <v>18</v>
      </c>
      <c r="C676" s="14">
        <v>2025</v>
      </c>
      <c r="D676" s="14" t="str">
        <f t="array" ref="D676">_xlfn.SWITCH(E676,"Bagor","35.18.14","Sukomoro",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6" s="13" t="s">
        <v>7</v>
      </c>
      <c r="F676" s="25" t="s">
        <v>1363</v>
      </c>
      <c r="G676" s="25" t="s">
        <v>1353</v>
      </c>
      <c r="H676" s="13" t="s">
        <v>20</v>
      </c>
      <c r="I676" s="14" t="s">
        <v>1101</v>
      </c>
      <c r="J676" s="49">
        <v>80</v>
      </c>
      <c r="K676" s="13" t="s">
        <v>34</v>
      </c>
      <c r="L676" s="22">
        <v>60000000</v>
      </c>
      <c r="M676" s="46"/>
      <c r="N676" s="17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</row>
    <row r="677" spans="1:67" s="3" customFormat="1" ht="20" x14ac:dyDescent="0.2">
      <c r="A677" s="14" t="s">
        <v>2986</v>
      </c>
      <c r="B677" s="14" t="s">
        <v>18</v>
      </c>
      <c r="C677" s="14">
        <v>2025</v>
      </c>
      <c r="D677" s="14" t="str">
        <f t="array" ref="D677">_xlfn.SWITCH(E677,"Bagor","35.18.14","Sukomoro",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7" s="13" t="s">
        <v>7</v>
      </c>
      <c r="F677" s="25" t="s">
        <v>1363</v>
      </c>
      <c r="G677" s="25" t="s">
        <v>1364</v>
      </c>
      <c r="H677" s="13" t="s">
        <v>20</v>
      </c>
      <c r="I677" s="14" t="s">
        <v>36</v>
      </c>
      <c r="J677" s="49">
        <v>150</v>
      </c>
      <c r="K677" s="13" t="s">
        <v>34</v>
      </c>
      <c r="L677" s="22">
        <v>180000000</v>
      </c>
      <c r="M677" s="46"/>
      <c r="N677" s="17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</row>
    <row r="678" spans="1:67" s="3" customFormat="1" ht="20" x14ac:dyDescent="0.2">
      <c r="A678" s="14" t="s">
        <v>2986</v>
      </c>
      <c r="B678" s="14" t="s">
        <v>18</v>
      </c>
      <c r="C678" s="14">
        <v>2025</v>
      </c>
      <c r="D678" s="14" t="str">
        <f t="array" ref="D678">_xlfn.SWITCH(E678,"Bagor","35.18.14","Sukomoro",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8" s="13" t="s">
        <v>7</v>
      </c>
      <c r="F678" s="25" t="s">
        <v>1363</v>
      </c>
      <c r="G678" s="25" t="s">
        <v>1365</v>
      </c>
      <c r="H678" s="13" t="s">
        <v>9</v>
      </c>
      <c r="I678" s="14" t="s">
        <v>1101</v>
      </c>
      <c r="J678" s="49">
        <v>24</v>
      </c>
      <c r="K678" s="13" t="s">
        <v>34</v>
      </c>
      <c r="L678" s="22">
        <v>60000000</v>
      </c>
      <c r="M678" s="46"/>
      <c r="N678" s="17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</row>
    <row r="679" spans="1:67" s="3" customFormat="1" ht="20" x14ac:dyDescent="0.2">
      <c r="A679" s="14" t="s">
        <v>2986</v>
      </c>
      <c r="B679" s="14" t="s">
        <v>18</v>
      </c>
      <c r="C679" s="14">
        <v>2025</v>
      </c>
      <c r="D679" s="14" t="str">
        <f t="array" ref="D679">_xlfn.SWITCH(E679,"Bagor","35.18.14","Sukomoro",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9" s="13" t="s">
        <v>7</v>
      </c>
      <c r="F679" s="25" t="s">
        <v>1363</v>
      </c>
      <c r="G679" s="25" t="s">
        <v>1366</v>
      </c>
      <c r="H679" s="13" t="s">
        <v>20</v>
      </c>
      <c r="I679" s="14" t="s">
        <v>61</v>
      </c>
      <c r="J679" s="49">
        <v>45</v>
      </c>
      <c r="K679" s="13" t="s">
        <v>34</v>
      </c>
      <c r="L679" s="22">
        <v>180000000</v>
      </c>
      <c r="M679" s="46"/>
      <c r="N679" s="17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</row>
    <row r="680" spans="1:67" s="3" customFormat="1" ht="20" x14ac:dyDescent="0.2">
      <c r="A680" s="14" t="s">
        <v>2986</v>
      </c>
      <c r="B680" s="14" t="s">
        <v>18</v>
      </c>
      <c r="C680" s="14">
        <v>2025</v>
      </c>
      <c r="D680" s="14" t="str">
        <f t="array" ref="D680">_xlfn.SWITCH(E680,"Bagor","35.18.14","Sukomoro",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0" s="13" t="s">
        <v>7</v>
      </c>
      <c r="F680" s="25" t="s">
        <v>1363</v>
      </c>
      <c r="G680" s="25" t="s">
        <v>1367</v>
      </c>
      <c r="H680" s="13" t="s">
        <v>9</v>
      </c>
      <c r="I680" s="14" t="s">
        <v>1101</v>
      </c>
      <c r="J680" s="49">
        <v>24</v>
      </c>
      <c r="K680" s="13" t="s">
        <v>34</v>
      </c>
      <c r="L680" s="22">
        <v>36000000</v>
      </c>
      <c r="M680" s="46"/>
      <c r="N680" s="17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</row>
    <row r="681" spans="1:67" s="3" customFormat="1" ht="20" x14ac:dyDescent="0.2">
      <c r="A681" s="14" t="s">
        <v>2986</v>
      </c>
      <c r="B681" s="14" t="s">
        <v>18</v>
      </c>
      <c r="C681" s="14">
        <v>2025</v>
      </c>
      <c r="D681" s="14" t="str">
        <f t="array" ref="D681">_xlfn.SWITCH(E681,"Bagor","35.18.14","Sukomoro",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1" s="13" t="s">
        <v>7</v>
      </c>
      <c r="F681" s="25" t="s">
        <v>1363</v>
      </c>
      <c r="G681" s="25" t="s">
        <v>1368</v>
      </c>
      <c r="H681" s="13" t="s">
        <v>9</v>
      </c>
      <c r="I681" s="14" t="s">
        <v>1101</v>
      </c>
      <c r="J681" s="49">
        <f>5*12</f>
        <v>60</v>
      </c>
      <c r="K681" s="13" t="s">
        <v>34</v>
      </c>
      <c r="L681" s="22">
        <v>150000000</v>
      </c>
      <c r="M681" s="46"/>
      <c r="N681" s="17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</row>
    <row r="682" spans="1:67" s="3" customFormat="1" ht="20" x14ac:dyDescent="0.2">
      <c r="A682" s="14" t="s">
        <v>2986</v>
      </c>
      <c r="B682" s="14" t="s">
        <v>18</v>
      </c>
      <c r="C682" s="14">
        <v>2025</v>
      </c>
      <c r="D682" s="14" t="str">
        <f t="array" ref="D682">_xlfn.SWITCH(E682,"Bagor","35.18.14","Sukomoro",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2" s="13" t="s">
        <v>7</v>
      </c>
      <c r="F682" s="25" t="s">
        <v>1363</v>
      </c>
      <c r="G682" s="25" t="s">
        <v>1369</v>
      </c>
      <c r="H682" s="13" t="s">
        <v>20</v>
      </c>
      <c r="I682" s="14" t="s">
        <v>1101</v>
      </c>
      <c r="J682" s="49">
        <v>100</v>
      </c>
      <c r="K682" s="13" t="s">
        <v>34</v>
      </c>
      <c r="L682" s="22">
        <v>120000000</v>
      </c>
      <c r="M682" s="46"/>
      <c r="N682" s="17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</row>
    <row r="683" spans="1:67" s="3" customFormat="1" x14ac:dyDescent="0.2">
      <c r="A683" s="14" t="s">
        <v>2986</v>
      </c>
      <c r="B683" s="14" t="s">
        <v>18</v>
      </c>
      <c r="C683" s="14">
        <v>2025</v>
      </c>
      <c r="D683" s="14" t="str">
        <f t="array" ref="D683">_xlfn.SWITCH(E683,"Bagor","35.18.14","Sukomoro",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3" s="13" t="s">
        <v>7</v>
      </c>
      <c r="F683" s="25" t="s">
        <v>1370</v>
      </c>
      <c r="G683" s="25" t="s">
        <v>1371</v>
      </c>
      <c r="H683" s="13" t="s">
        <v>9</v>
      </c>
      <c r="I683" s="14" t="s">
        <v>1101</v>
      </c>
      <c r="J683" s="49">
        <v>26</v>
      </c>
      <c r="K683" s="13" t="s">
        <v>34</v>
      </c>
      <c r="L683" s="22">
        <v>39000000</v>
      </c>
      <c r="M683" s="46"/>
      <c r="N683" s="17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</row>
    <row r="684" spans="1:67" s="3" customFormat="1" x14ac:dyDescent="0.2">
      <c r="A684" s="14" t="s">
        <v>2986</v>
      </c>
      <c r="B684" s="14" t="s">
        <v>18</v>
      </c>
      <c r="C684" s="14">
        <v>2025</v>
      </c>
      <c r="D684" s="14" t="str">
        <f t="array" ref="D684">_xlfn.SWITCH(E684,"Bagor","35.18.14","Sukomoro",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4" s="13" t="s">
        <v>7</v>
      </c>
      <c r="F684" s="25" t="s">
        <v>1370</v>
      </c>
      <c r="G684" s="25" t="s">
        <v>1372</v>
      </c>
      <c r="H684" s="13" t="s">
        <v>9</v>
      </c>
      <c r="I684" s="14" t="s">
        <v>1373</v>
      </c>
      <c r="J684" s="49">
        <v>60</v>
      </c>
      <c r="K684" s="13" t="s">
        <v>34</v>
      </c>
      <c r="L684" s="22">
        <v>105000000</v>
      </c>
      <c r="M684" s="46"/>
      <c r="N684" s="17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</row>
    <row r="685" spans="1:67" s="3" customFormat="1" x14ac:dyDescent="0.2">
      <c r="A685" s="14" t="s">
        <v>2986</v>
      </c>
      <c r="B685" s="14" t="s">
        <v>18</v>
      </c>
      <c r="C685" s="14">
        <v>2025</v>
      </c>
      <c r="D685" s="14" t="str">
        <f t="array" ref="D685">_xlfn.SWITCH(E685,"Bagor","35.18.14","Sukomoro",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5" s="13" t="s">
        <v>7</v>
      </c>
      <c r="F685" s="25" t="s">
        <v>1370</v>
      </c>
      <c r="G685" s="25" t="s">
        <v>1374</v>
      </c>
      <c r="H685" s="13" t="s">
        <v>9</v>
      </c>
      <c r="I685" s="14" t="s">
        <v>1101</v>
      </c>
      <c r="J685" s="49">
        <v>8</v>
      </c>
      <c r="K685" s="13" t="s">
        <v>34</v>
      </c>
      <c r="L685" s="22">
        <v>32000000</v>
      </c>
      <c r="M685" s="46"/>
      <c r="N685" s="17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</row>
    <row r="686" spans="1:67" s="3" customFormat="1" x14ac:dyDescent="0.2">
      <c r="A686" s="14" t="s">
        <v>2986</v>
      </c>
      <c r="B686" s="14" t="s">
        <v>18</v>
      </c>
      <c r="C686" s="14">
        <v>2025</v>
      </c>
      <c r="D686" s="14" t="str">
        <f t="array" ref="D686">_xlfn.SWITCH(E686,"Bagor","35.18.14","Sukomoro",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6" s="13" t="s">
        <v>7</v>
      </c>
      <c r="F686" s="25" t="s">
        <v>1370</v>
      </c>
      <c r="G686" s="25" t="s">
        <v>1375</v>
      </c>
      <c r="H686" s="13" t="s">
        <v>9</v>
      </c>
      <c r="I686" s="14" t="s">
        <v>1101</v>
      </c>
      <c r="J686" s="49">
        <v>60</v>
      </c>
      <c r="K686" s="13" t="s">
        <v>34</v>
      </c>
      <c r="L686" s="22">
        <v>78000000</v>
      </c>
      <c r="M686" s="46"/>
      <c r="N686" s="17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</row>
    <row r="687" spans="1:67" s="3" customFormat="1" x14ac:dyDescent="0.2">
      <c r="A687" s="14" t="s">
        <v>2986</v>
      </c>
      <c r="B687" s="14" t="s">
        <v>18</v>
      </c>
      <c r="C687" s="14">
        <v>2025</v>
      </c>
      <c r="D687" s="14" t="str">
        <f t="array" ref="D687">_xlfn.SWITCH(E687,"Bagor","35.18.14","Sukomoro",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7" s="13" t="s">
        <v>7</v>
      </c>
      <c r="F687" s="25" t="s">
        <v>1370</v>
      </c>
      <c r="G687" s="25" t="s">
        <v>1376</v>
      </c>
      <c r="H687" s="13" t="s">
        <v>20</v>
      </c>
      <c r="I687" s="14" t="s">
        <v>1101</v>
      </c>
      <c r="J687" s="49">
        <v>49</v>
      </c>
      <c r="K687" s="13" t="s">
        <v>34</v>
      </c>
      <c r="L687" s="22">
        <v>196000000</v>
      </c>
      <c r="M687" s="46"/>
      <c r="N687" s="17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</row>
    <row r="688" spans="1:67" s="3" customFormat="1" ht="20" x14ac:dyDescent="0.2">
      <c r="A688" s="14" t="s">
        <v>2986</v>
      </c>
      <c r="B688" s="14" t="s">
        <v>18</v>
      </c>
      <c r="C688" s="14">
        <v>2025</v>
      </c>
      <c r="D688" s="14" t="str">
        <f t="array" ref="D688">_xlfn.SWITCH(E688,"Bagor","35.18.14","Sukomoro",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8" s="13" t="s">
        <v>7</v>
      </c>
      <c r="F688" s="25" t="s">
        <v>1363</v>
      </c>
      <c r="G688" s="25" t="s">
        <v>1184</v>
      </c>
      <c r="H688" s="13" t="s">
        <v>9</v>
      </c>
      <c r="I688" s="14" t="s">
        <v>1101</v>
      </c>
      <c r="J688" s="49">
        <v>15</v>
      </c>
      <c r="K688" s="13" t="s">
        <v>34</v>
      </c>
      <c r="L688" s="22">
        <v>45000000</v>
      </c>
      <c r="M688" s="46"/>
      <c r="N688" s="17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</row>
    <row r="689" spans="1:67" s="3" customFormat="1" ht="20" x14ac:dyDescent="0.2">
      <c r="A689" s="14" t="s">
        <v>2986</v>
      </c>
      <c r="B689" s="14" t="s">
        <v>18</v>
      </c>
      <c r="C689" s="14">
        <v>2025</v>
      </c>
      <c r="D689" s="14" t="str">
        <f t="array" ref="D689">_xlfn.SWITCH(E689,"Bagor","35.18.14","Sukomoro",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9" s="13" t="s">
        <v>7</v>
      </c>
      <c r="F689" s="25" t="s">
        <v>1363</v>
      </c>
      <c r="G689" s="25" t="s">
        <v>1377</v>
      </c>
      <c r="H689" s="13" t="s">
        <v>20</v>
      </c>
      <c r="I689" s="14" t="s">
        <v>1101</v>
      </c>
      <c r="J689" s="49">
        <v>50</v>
      </c>
      <c r="K689" s="13" t="s">
        <v>34</v>
      </c>
      <c r="L689" s="22">
        <v>37500000</v>
      </c>
      <c r="M689" s="46"/>
      <c r="N689" s="17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</row>
    <row r="690" spans="1:67" s="3" customFormat="1" ht="20" x14ac:dyDescent="0.2">
      <c r="A690" s="14" t="s">
        <v>2986</v>
      </c>
      <c r="B690" s="14" t="s">
        <v>18</v>
      </c>
      <c r="C690" s="14">
        <v>2025</v>
      </c>
      <c r="D690" s="14" t="str">
        <f t="array" ref="D690">_xlfn.SWITCH(E690,"Bagor","35.18.14","Sukomoro",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0" s="13" t="s">
        <v>7</v>
      </c>
      <c r="F690" s="25" t="s">
        <v>1361</v>
      </c>
      <c r="G690" s="25" t="s">
        <v>1378</v>
      </c>
      <c r="H690" s="13" t="s">
        <v>9</v>
      </c>
      <c r="I690" s="14" t="s">
        <v>1101</v>
      </c>
      <c r="J690" s="49">
        <v>24</v>
      </c>
      <c r="K690" s="13" t="s">
        <v>34</v>
      </c>
      <c r="L690" s="22">
        <v>15600000</v>
      </c>
      <c r="M690" s="46"/>
      <c r="N690" s="17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</row>
    <row r="691" spans="1:67" s="3" customFormat="1" ht="20" x14ac:dyDescent="0.2">
      <c r="A691" s="14" t="s">
        <v>2986</v>
      </c>
      <c r="B691" s="14" t="s">
        <v>18</v>
      </c>
      <c r="C691" s="14">
        <v>2025</v>
      </c>
      <c r="D691" s="14" t="str">
        <f t="array" ref="D691">_xlfn.SWITCH(E691,"Bagor","35.18.14","Sukomoro",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1" s="13" t="s">
        <v>7</v>
      </c>
      <c r="F691" s="25" t="s">
        <v>1379</v>
      </c>
      <c r="G691" s="25" t="s">
        <v>1380</v>
      </c>
      <c r="H691" s="13" t="s">
        <v>20</v>
      </c>
      <c r="I691" s="14" t="s">
        <v>36</v>
      </c>
      <c r="J691" s="49">
        <v>40</v>
      </c>
      <c r="K691" s="13" t="s">
        <v>34</v>
      </c>
      <c r="L691" s="22">
        <v>120000000</v>
      </c>
      <c r="M691" s="46"/>
      <c r="N691" s="17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</row>
    <row r="692" spans="1:67" s="3" customFormat="1" x14ac:dyDescent="0.2">
      <c r="A692" s="14" t="s">
        <v>2986</v>
      </c>
      <c r="B692" s="14" t="s">
        <v>18</v>
      </c>
      <c r="C692" s="14">
        <v>2025</v>
      </c>
      <c r="D692" s="14" t="str">
        <f t="array" ref="D692">_xlfn.SWITCH(E692,"Bagor","35.18.14","Sukomoro",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2" s="13" t="s">
        <v>7</v>
      </c>
      <c r="F692" s="25" t="s">
        <v>1381</v>
      </c>
      <c r="G692" s="25" t="s">
        <v>1382</v>
      </c>
      <c r="H692" s="13" t="s">
        <v>9</v>
      </c>
      <c r="I692" s="14" t="s">
        <v>1101</v>
      </c>
      <c r="J692" s="49">
        <f>4*12</f>
        <v>48</v>
      </c>
      <c r="K692" s="13" t="s">
        <v>135</v>
      </c>
      <c r="L692" s="22">
        <v>34080000</v>
      </c>
      <c r="M692" s="46"/>
      <c r="N692" s="17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</row>
    <row r="693" spans="1:67" s="3" customFormat="1" ht="20" x14ac:dyDescent="0.2">
      <c r="A693" s="14" t="s">
        <v>2986</v>
      </c>
      <c r="B693" s="14" t="s">
        <v>18</v>
      </c>
      <c r="C693" s="14">
        <v>2025</v>
      </c>
      <c r="D693" s="14" t="str">
        <f t="array" ref="D693">_xlfn.SWITCH(E693,"Bagor","35.18.14","Sukomoro",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3" s="13" t="s">
        <v>7</v>
      </c>
      <c r="F693" s="25" t="s">
        <v>1383</v>
      </c>
      <c r="G693" s="25" t="s">
        <v>1384</v>
      </c>
      <c r="H693" s="13" t="s">
        <v>9</v>
      </c>
      <c r="I693" s="14" t="s">
        <v>36</v>
      </c>
      <c r="J693" s="49">
        <v>30</v>
      </c>
      <c r="K693" s="13" t="s">
        <v>1102</v>
      </c>
      <c r="L693" s="22">
        <v>13500000</v>
      </c>
      <c r="M693" s="46"/>
      <c r="N693" s="17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</row>
    <row r="694" spans="1:67" s="3" customFormat="1" ht="20" x14ac:dyDescent="0.2">
      <c r="A694" s="14" t="s">
        <v>2986</v>
      </c>
      <c r="B694" s="14" t="s">
        <v>18</v>
      </c>
      <c r="C694" s="14">
        <v>2025</v>
      </c>
      <c r="D694" s="14" t="str">
        <f t="array" ref="D694">_xlfn.SWITCH(E694,"Bagor","35.18.14","Sukomoro",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4" s="13" t="s">
        <v>7</v>
      </c>
      <c r="F694" s="25" t="s">
        <v>1383</v>
      </c>
      <c r="G694" s="25" t="s">
        <v>1385</v>
      </c>
      <c r="H694" s="13" t="s">
        <v>9</v>
      </c>
      <c r="I694" s="14" t="s">
        <v>1101</v>
      </c>
      <c r="J694" s="49">
        <f>6*12</f>
        <v>72</v>
      </c>
      <c r="K694" s="13" t="s">
        <v>34</v>
      </c>
      <c r="L694" s="22">
        <v>54000000</v>
      </c>
      <c r="M694" s="46"/>
      <c r="N694" s="17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</row>
    <row r="695" spans="1:67" s="3" customFormat="1" ht="20" x14ac:dyDescent="0.2">
      <c r="A695" s="14" t="s">
        <v>2986</v>
      </c>
      <c r="B695" s="14" t="s">
        <v>18</v>
      </c>
      <c r="C695" s="14">
        <v>2025</v>
      </c>
      <c r="D695" s="14" t="str">
        <f t="array" ref="D695">_xlfn.SWITCH(E695,"Bagor","35.18.14","Sukomoro",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5" s="13" t="s">
        <v>7</v>
      </c>
      <c r="F695" s="25" t="s">
        <v>1383</v>
      </c>
      <c r="G695" s="25" t="s">
        <v>1386</v>
      </c>
      <c r="H695" s="13" t="s">
        <v>9</v>
      </c>
      <c r="I695" s="14" t="s">
        <v>1101</v>
      </c>
      <c r="J695" s="49">
        <v>12</v>
      </c>
      <c r="K695" s="13" t="s">
        <v>34</v>
      </c>
      <c r="L695" s="22">
        <v>9000000</v>
      </c>
      <c r="M695" s="46"/>
      <c r="N695" s="17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</row>
    <row r="696" spans="1:67" s="3" customFormat="1" ht="20" x14ac:dyDescent="0.2">
      <c r="A696" s="14" t="s">
        <v>2986</v>
      </c>
      <c r="B696" s="14" t="s">
        <v>18</v>
      </c>
      <c r="C696" s="14">
        <v>2025</v>
      </c>
      <c r="D696" s="14" t="str">
        <f t="array" ref="D696">_xlfn.SWITCH(E696,"Bagor","35.18.14","Sukomoro",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6" s="13" t="s">
        <v>7</v>
      </c>
      <c r="F696" s="25" t="s">
        <v>1383</v>
      </c>
      <c r="G696" s="25" t="s">
        <v>1387</v>
      </c>
      <c r="H696" s="13" t="s">
        <v>9</v>
      </c>
      <c r="I696" s="14" t="s">
        <v>1101</v>
      </c>
      <c r="J696" s="49">
        <f>3*12</f>
        <v>36</v>
      </c>
      <c r="K696" s="13" t="s">
        <v>34</v>
      </c>
      <c r="L696" s="22">
        <v>43200000</v>
      </c>
      <c r="M696" s="46"/>
      <c r="N696" s="17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</row>
    <row r="697" spans="1:67" s="3" customFormat="1" ht="20" x14ac:dyDescent="0.2">
      <c r="A697" s="14" t="s">
        <v>2986</v>
      </c>
      <c r="B697" s="14" t="s">
        <v>18</v>
      </c>
      <c r="C697" s="14">
        <v>2025</v>
      </c>
      <c r="D697" s="14" t="str">
        <f t="array" ref="D697">_xlfn.SWITCH(E697,"Bagor","35.18.14","Sukomoro",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7" s="13" t="s">
        <v>7</v>
      </c>
      <c r="F697" s="25" t="s">
        <v>1383</v>
      </c>
      <c r="G697" s="25" t="s">
        <v>1388</v>
      </c>
      <c r="H697" s="13" t="s">
        <v>9</v>
      </c>
      <c r="I697" s="14" t="s">
        <v>1101</v>
      </c>
      <c r="J697" s="49">
        <f>4*6</f>
        <v>24</v>
      </c>
      <c r="K697" s="13" t="s">
        <v>34</v>
      </c>
      <c r="L697" s="22">
        <v>18000000</v>
      </c>
      <c r="M697" s="46"/>
      <c r="N697" s="17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</row>
    <row r="698" spans="1:67" s="3" customFormat="1" ht="20" x14ac:dyDescent="0.2">
      <c r="A698" s="14" t="s">
        <v>2986</v>
      </c>
      <c r="B698" s="14" t="s">
        <v>18</v>
      </c>
      <c r="C698" s="14">
        <v>2025</v>
      </c>
      <c r="D698" s="14" t="str">
        <f t="array" ref="D698">_xlfn.SWITCH(E698,"Bagor","35.18.14","Sukomoro",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8" s="13" t="s">
        <v>7</v>
      </c>
      <c r="F698" s="25" t="s">
        <v>1383</v>
      </c>
      <c r="G698" s="25" t="s">
        <v>1389</v>
      </c>
      <c r="H698" s="13" t="s">
        <v>9</v>
      </c>
      <c r="I698" s="14" t="s">
        <v>1101</v>
      </c>
      <c r="J698" s="49">
        <v>15</v>
      </c>
      <c r="K698" s="13" t="s">
        <v>34</v>
      </c>
      <c r="L698" s="22">
        <v>22500000</v>
      </c>
      <c r="M698" s="46"/>
      <c r="N698" s="17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</row>
    <row r="699" spans="1:67" s="3" customFormat="1" ht="20" x14ac:dyDescent="0.2">
      <c r="A699" s="14" t="s">
        <v>2986</v>
      </c>
      <c r="B699" s="14" t="s">
        <v>18</v>
      </c>
      <c r="C699" s="14">
        <v>2025</v>
      </c>
      <c r="D699" s="14" t="str">
        <f t="array" ref="D699">_xlfn.SWITCH(E699,"Bagor","35.18.14","Sukomoro",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9" s="13" t="s">
        <v>7</v>
      </c>
      <c r="F699" s="25" t="s">
        <v>1383</v>
      </c>
      <c r="G699" s="25" t="s">
        <v>1390</v>
      </c>
      <c r="H699" s="13" t="s">
        <v>20</v>
      </c>
      <c r="I699" s="14" t="s">
        <v>1101</v>
      </c>
      <c r="J699" s="49">
        <v>500</v>
      </c>
      <c r="K699" s="13" t="s">
        <v>34</v>
      </c>
      <c r="L699" s="22">
        <v>300000000</v>
      </c>
      <c r="M699" s="46"/>
      <c r="N699" s="17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</row>
    <row r="700" spans="1:67" s="3" customFormat="1" ht="20" x14ac:dyDescent="0.2">
      <c r="A700" s="14" t="s">
        <v>2986</v>
      </c>
      <c r="B700" s="14" t="s">
        <v>18</v>
      </c>
      <c r="C700" s="14">
        <v>2025</v>
      </c>
      <c r="D700" s="14" t="str">
        <f t="array" ref="D700">_xlfn.SWITCH(E700,"Bagor","35.18.14","Sukomoro",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0" s="13" t="s">
        <v>7</v>
      </c>
      <c r="F700" s="25" t="s">
        <v>1383</v>
      </c>
      <c r="G700" s="25" t="s">
        <v>1391</v>
      </c>
      <c r="H700" s="13" t="s">
        <v>20</v>
      </c>
      <c r="I700" s="14" t="s">
        <v>1101</v>
      </c>
      <c r="J700" s="49">
        <v>30</v>
      </c>
      <c r="K700" s="13" t="s">
        <v>34</v>
      </c>
      <c r="L700" s="22">
        <v>120000000</v>
      </c>
      <c r="M700" s="46"/>
      <c r="N700" s="17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</row>
    <row r="701" spans="1:67" s="3" customFormat="1" x14ac:dyDescent="0.2">
      <c r="A701" s="14" t="s">
        <v>2986</v>
      </c>
      <c r="B701" s="14" t="s">
        <v>18</v>
      </c>
      <c r="C701" s="14">
        <v>2025</v>
      </c>
      <c r="D701" s="14" t="str">
        <f t="array" ref="D701">_xlfn.SWITCH(E701,"Bagor","35.18.14","Sukomoro",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1" s="13" t="s">
        <v>7</v>
      </c>
      <c r="F701" s="25" t="s">
        <v>1370</v>
      </c>
      <c r="G701" s="25" t="s">
        <v>1392</v>
      </c>
      <c r="H701" s="13" t="s">
        <v>9</v>
      </c>
      <c r="I701" s="14" t="s">
        <v>1101</v>
      </c>
      <c r="J701" s="49">
        <v>24</v>
      </c>
      <c r="K701" s="13" t="s">
        <v>34</v>
      </c>
      <c r="L701" s="22">
        <v>38400000</v>
      </c>
      <c r="M701" s="46"/>
      <c r="N701" s="17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</row>
    <row r="702" spans="1:67" s="3" customFormat="1" x14ac:dyDescent="0.2">
      <c r="A702" s="14" t="s">
        <v>2986</v>
      </c>
      <c r="B702" s="14" t="s">
        <v>18</v>
      </c>
      <c r="C702" s="14">
        <v>2025</v>
      </c>
      <c r="D702" s="14" t="str">
        <f t="array" ref="D702">_xlfn.SWITCH(E702,"Bagor","35.18.14","Sukomoro",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2" s="13" t="s">
        <v>7</v>
      </c>
      <c r="F702" s="25" t="s">
        <v>1370</v>
      </c>
      <c r="G702" s="25" t="s">
        <v>1393</v>
      </c>
      <c r="H702" s="13" t="s">
        <v>20</v>
      </c>
      <c r="I702" s="14" t="s">
        <v>1101</v>
      </c>
      <c r="J702" s="49">
        <v>25</v>
      </c>
      <c r="K702" s="13" t="s">
        <v>34</v>
      </c>
      <c r="L702" s="22">
        <v>45000000</v>
      </c>
      <c r="M702" s="46"/>
      <c r="N702" s="17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</row>
    <row r="703" spans="1:67" s="3" customFormat="1" x14ac:dyDescent="0.2">
      <c r="A703" s="14" t="s">
        <v>2986</v>
      </c>
      <c r="B703" s="14" t="s">
        <v>18</v>
      </c>
      <c r="C703" s="14">
        <v>2025</v>
      </c>
      <c r="D703" s="14" t="str">
        <f t="array" ref="D703">_xlfn.SWITCH(E703,"Bagor","35.18.14","Sukomoro",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3" s="13" t="s">
        <v>7</v>
      </c>
      <c r="F703" s="25" t="s">
        <v>1370</v>
      </c>
      <c r="G703" s="25" t="s">
        <v>1394</v>
      </c>
      <c r="H703" s="13" t="s">
        <v>20</v>
      </c>
      <c r="I703" s="14" t="s">
        <v>1101</v>
      </c>
      <c r="J703" s="49">
        <f>6*12</f>
        <v>72</v>
      </c>
      <c r="K703" s="13" t="s">
        <v>34</v>
      </c>
      <c r="L703" s="22">
        <v>93600000</v>
      </c>
      <c r="M703" s="46"/>
      <c r="N703" s="17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</row>
    <row r="704" spans="1:67" s="3" customFormat="1" x14ac:dyDescent="0.2">
      <c r="A704" s="14" t="s">
        <v>2986</v>
      </c>
      <c r="B704" s="14" t="s">
        <v>18</v>
      </c>
      <c r="C704" s="14">
        <v>2025</v>
      </c>
      <c r="D704" s="14" t="str">
        <f t="array" ref="D704">_xlfn.SWITCH(E704,"Bagor","35.18.14","Sukomoro",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4" s="13" t="s">
        <v>7</v>
      </c>
      <c r="F704" s="25" t="s">
        <v>1370</v>
      </c>
      <c r="G704" s="25" t="s">
        <v>1395</v>
      </c>
      <c r="H704" s="13" t="s">
        <v>9</v>
      </c>
      <c r="I704" s="14" t="s">
        <v>1101</v>
      </c>
      <c r="J704" s="49">
        <v>120</v>
      </c>
      <c r="K704" s="13" t="s">
        <v>34</v>
      </c>
      <c r="L704" s="22">
        <v>84000000</v>
      </c>
      <c r="M704" s="46"/>
      <c r="N704" s="17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</row>
    <row r="705" spans="1:67" s="3" customFormat="1" x14ac:dyDescent="0.2">
      <c r="A705" s="14" t="s">
        <v>2986</v>
      </c>
      <c r="B705" s="14" t="s">
        <v>18</v>
      </c>
      <c r="C705" s="14">
        <v>2025</v>
      </c>
      <c r="D705" s="14" t="str">
        <f t="array" ref="D705">_xlfn.SWITCH(E705,"Bagor","35.18.14","Sukomoro",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5" s="13" t="s">
        <v>7</v>
      </c>
      <c r="F705" s="25" t="s">
        <v>1370</v>
      </c>
      <c r="G705" s="25" t="s">
        <v>1396</v>
      </c>
      <c r="H705" s="13" t="s">
        <v>20</v>
      </c>
      <c r="I705" s="14" t="s">
        <v>1101</v>
      </c>
      <c r="J705" s="49">
        <v>48</v>
      </c>
      <c r="K705" s="13" t="s">
        <v>34</v>
      </c>
      <c r="L705" s="22">
        <v>57600000</v>
      </c>
      <c r="M705" s="46"/>
      <c r="N705" s="17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</row>
    <row r="706" spans="1:67" s="3" customFormat="1" x14ac:dyDescent="0.2">
      <c r="A706" s="14" t="s">
        <v>2986</v>
      </c>
      <c r="B706" s="14" t="s">
        <v>18</v>
      </c>
      <c r="C706" s="14">
        <v>2025</v>
      </c>
      <c r="D706" s="14" t="str">
        <f t="array" ref="D706">_xlfn.SWITCH(E706,"Bagor","35.18.14","Sukomoro",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6" s="13" t="s">
        <v>102</v>
      </c>
      <c r="F706" s="25" t="s">
        <v>1397</v>
      </c>
      <c r="G706" s="25" t="s">
        <v>1398</v>
      </c>
      <c r="H706" s="13" t="s">
        <v>9</v>
      </c>
      <c r="I706" s="14" t="s">
        <v>960</v>
      </c>
      <c r="J706" s="49">
        <f>1.5*12*26</f>
        <v>468</v>
      </c>
      <c r="K706" s="13" t="s">
        <v>902</v>
      </c>
      <c r="L706" s="22">
        <v>109980000</v>
      </c>
      <c r="M706" s="46"/>
      <c r="N706" s="17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</row>
    <row r="707" spans="1:67" s="3" customFormat="1" x14ac:dyDescent="0.2">
      <c r="A707" s="14" t="s">
        <v>2986</v>
      </c>
      <c r="B707" s="14" t="s">
        <v>18</v>
      </c>
      <c r="C707" s="14">
        <v>2025</v>
      </c>
      <c r="D707" s="14" t="str">
        <f t="array" ref="D707">_xlfn.SWITCH(E707,"Bagor","35.18.14","Sukomoro",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7" s="13" t="s">
        <v>102</v>
      </c>
      <c r="F707" s="25" t="s">
        <v>1397</v>
      </c>
      <c r="G707" s="25" t="s">
        <v>1399</v>
      </c>
      <c r="H707" s="13" t="s">
        <v>9</v>
      </c>
      <c r="I707" s="14" t="s">
        <v>1400</v>
      </c>
      <c r="J707" s="49">
        <f>2*12*26</f>
        <v>624</v>
      </c>
      <c r="K707" s="13" t="s">
        <v>953</v>
      </c>
      <c r="L707" s="22">
        <v>37440000</v>
      </c>
      <c r="M707" s="46"/>
      <c r="N707" s="17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</row>
    <row r="708" spans="1:67" s="3" customFormat="1" x14ac:dyDescent="0.2">
      <c r="A708" s="14" t="s">
        <v>2986</v>
      </c>
      <c r="B708" s="14" t="s">
        <v>18</v>
      </c>
      <c r="C708" s="14">
        <v>2025</v>
      </c>
      <c r="D708" s="14" t="str">
        <f t="array" ref="D708">_xlfn.SWITCH(E708,"Bagor","35.18.14","Sukomoro",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8" s="13" t="s">
        <v>35</v>
      </c>
      <c r="F708" s="25" t="s">
        <v>1240</v>
      </c>
      <c r="G708" s="25" t="s">
        <v>1401</v>
      </c>
      <c r="H708" s="13" t="s">
        <v>9</v>
      </c>
      <c r="I708" s="14" t="s">
        <v>229</v>
      </c>
      <c r="J708" s="49">
        <f>25*12*26</f>
        <v>7800</v>
      </c>
      <c r="K708" s="13" t="s">
        <v>700</v>
      </c>
      <c r="L708" s="22">
        <v>117000000</v>
      </c>
      <c r="M708" s="46"/>
      <c r="N708" s="17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</row>
    <row r="709" spans="1:67" s="3" customFormat="1" x14ac:dyDescent="0.2">
      <c r="A709" s="14" t="s">
        <v>2986</v>
      </c>
      <c r="B709" s="14" t="s">
        <v>18</v>
      </c>
      <c r="C709" s="14">
        <v>2025</v>
      </c>
      <c r="D709" s="14" t="str">
        <f t="array" ref="D709">_xlfn.SWITCH(E709,"Bagor","35.18.14","Sukomoro",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9" s="13" t="s">
        <v>35</v>
      </c>
      <c r="F709" s="25" t="s">
        <v>1240</v>
      </c>
      <c r="G709" s="25" t="s">
        <v>1402</v>
      </c>
      <c r="H709" s="13" t="s">
        <v>9</v>
      </c>
      <c r="I709" s="14" t="s">
        <v>229</v>
      </c>
      <c r="J709" s="49">
        <f>25*12*8</f>
        <v>2400</v>
      </c>
      <c r="K709" s="13" t="s">
        <v>700</v>
      </c>
      <c r="L709" s="22">
        <v>40800000</v>
      </c>
      <c r="M709" s="46"/>
      <c r="N709" s="17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</row>
    <row r="710" spans="1:67" s="3" customFormat="1" x14ac:dyDescent="0.2">
      <c r="A710" s="14" t="s">
        <v>2986</v>
      </c>
      <c r="B710" s="14" t="s">
        <v>18</v>
      </c>
      <c r="C710" s="14">
        <v>2025</v>
      </c>
      <c r="D710" s="14" t="str">
        <f t="array" ref="D710">_xlfn.SWITCH(E710,"Bagor","35.18.14","Sukomoro",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0" s="13" t="s">
        <v>35</v>
      </c>
      <c r="F710" s="25" t="s">
        <v>1403</v>
      </c>
      <c r="G710" s="25" t="s">
        <v>1404</v>
      </c>
      <c r="H710" s="13" t="s">
        <v>9</v>
      </c>
      <c r="I710" s="14" t="s">
        <v>1405</v>
      </c>
      <c r="J710" s="49">
        <f>12*12*14</f>
        <v>2016</v>
      </c>
      <c r="K710" s="13" t="s">
        <v>700</v>
      </c>
      <c r="L710" s="22">
        <v>110880000</v>
      </c>
      <c r="M710" s="46"/>
      <c r="N710" s="17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</row>
    <row r="711" spans="1:67" s="3" customFormat="1" x14ac:dyDescent="0.2">
      <c r="A711" s="14" t="s">
        <v>2986</v>
      </c>
      <c r="B711" s="14" t="s">
        <v>18</v>
      </c>
      <c r="C711" s="14">
        <v>2025</v>
      </c>
      <c r="D711" s="14" t="str">
        <f t="array" ref="D711">_xlfn.SWITCH(E711,"Bagor","35.18.14","Sukomoro",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1" s="13" t="s">
        <v>35</v>
      </c>
      <c r="F711" s="25" t="s">
        <v>1403</v>
      </c>
      <c r="G711" s="25" t="s">
        <v>1406</v>
      </c>
      <c r="H711" s="13" t="s">
        <v>9</v>
      </c>
      <c r="I711" s="14" t="s">
        <v>1405</v>
      </c>
      <c r="J711" s="49">
        <f>15*12*14</f>
        <v>2520</v>
      </c>
      <c r="K711" s="13" t="s">
        <v>700</v>
      </c>
      <c r="L711" s="22">
        <v>136080000</v>
      </c>
      <c r="M711" s="46"/>
      <c r="N711" s="17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</row>
    <row r="712" spans="1:67" s="3" customFormat="1" x14ac:dyDescent="0.2">
      <c r="A712" s="14" t="s">
        <v>2986</v>
      </c>
      <c r="B712" s="14" t="s">
        <v>18</v>
      </c>
      <c r="C712" s="14">
        <v>2025</v>
      </c>
      <c r="D712" s="14" t="str">
        <f t="array" ref="D712">_xlfn.SWITCH(E712,"Bagor","35.18.14","Sukomoro",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2" s="13" t="s">
        <v>35</v>
      </c>
      <c r="F712" s="25" t="s">
        <v>1240</v>
      </c>
      <c r="G712" s="25" t="s">
        <v>1407</v>
      </c>
      <c r="H712" s="13" t="s">
        <v>9</v>
      </c>
      <c r="I712" s="14" t="s">
        <v>229</v>
      </c>
      <c r="J712" s="49">
        <f>16*4*12</f>
        <v>768</v>
      </c>
      <c r="K712" s="13" t="s">
        <v>700</v>
      </c>
      <c r="L712" s="22">
        <v>115200000</v>
      </c>
      <c r="M712" s="46"/>
      <c r="N712" s="17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</row>
    <row r="713" spans="1:67" s="3" customFormat="1" x14ac:dyDescent="0.2">
      <c r="A713" s="14" t="s">
        <v>2986</v>
      </c>
      <c r="B713" s="14" t="s">
        <v>18</v>
      </c>
      <c r="C713" s="14">
        <v>2025</v>
      </c>
      <c r="D713" s="14" t="str">
        <f t="array" ref="D713">_xlfn.SWITCH(E713,"Bagor","35.18.14","Sukomoro",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3" s="13" t="s">
        <v>65</v>
      </c>
      <c r="F713" s="25" t="s">
        <v>1408</v>
      </c>
      <c r="G713" s="25" t="s">
        <v>1409</v>
      </c>
      <c r="H713" s="13" t="s">
        <v>9</v>
      </c>
      <c r="I713" s="14" t="s">
        <v>181</v>
      </c>
      <c r="J713" s="49">
        <f>1000*2</f>
        <v>2000</v>
      </c>
      <c r="K713" s="13" t="s">
        <v>953</v>
      </c>
      <c r="L713" s="22">
        <v>1200000</v>
      </c>
      <c r="M713" s="46"/>
      <c r="N713" s="17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</row>
    <row r="714" spans="1:67" s="3" customFormat="1" x14ac:dyDescent="0.2">
      <c r="A714" s="14" t="s">
        <v>2986</v>
      </c>
      <c r="B714" s="14" t="s">
        <v>18</v>
      </c>
      <c r="C714" s="14">
        <v>2025</v>
      </c>
      <c r="D714" s="14" t="str">
        <f t="array" ref="D714">_xlfn.SWITCH(E714,"Bagor","35.18.14","Sukomoro",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4" s="13" t="s">
        <v>65</v>
      </c>
      <c r="F714" s="25" t="s">
        <v>1410</v>
      </c>
      <c r="G714" s="25" t="s">
        <v>1411</v>
      </c>
      <c r="H714" s="13" t="s">
        <v>9</v>
      </c>
      <c r="I714" s="14" t="s">
        <v>181</v>
      </c>
      <c r="J714" s="49">
        <f>6000*12</f>
        <v>72000</v>
      </c>
      <c r="K714" s="13" t="s">
        <v>953</v>
      </c>
      <c r="L714" s="22">
        <v>43200000</v>
      </c>
      <c r="M714" s="46"/>
      <c r="N714" s="17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</row>
    <row r="715" spans="1:67" s="3" customFormat="1" x14ac:dyDescent="0.2">
      <c r="A715" s="14" t="s">
        <v>2986</v>
      </c>
      <c r="B715" s="14" t="s">
        <v>18</v>
      </c>
      <c r="C715" s="14">
        <v>2025</v>
      </c>
      <c r="D715" s="14" t="str">
        <f t="array" ref="D715">_xlfn.SWITCH(E715,"Bagor","35.18.14","Sukomoro",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5" s="13" t="s">
        <v>65</v>
      </c>
      <c r="F715" s="25" t="s">
        <v>1410</v>
      </c>
      <c r="G715" s="25" t="s">
        <v>1412</v>
      </c>
      <c r="H715" s="13" t="s">
        <v>9</v>
      </c>
      <c r="I715" s="14" t="s">
        <v>181</v>
      </c>
      <c r="J715" s="49">
        <f>7000*12</f>
        <v>84000</v>
      </c>
      <c r="K715" s="13" t="s">
        <v>953</v>
      </c>
      <c r="L715" s="22">
        <v>50400000</v>
      </c>
      <c r="M715" s="46"/>
      <c r="N715" s="17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</row>
    <row r="716" spans="1:67" s="3" customFormat="1" x14ac:dyDescent="0.2">
      <c r="A716" s="14" t="s">
        <v>2986</v>
      </c>
      <c r="B716" s="14" t="s">
        <v>18</v>
      </c>
      <c r="C716" s="14">
        <v>2025</v>
      </c>
      <c r="D716" s="14" t="str">
        <f t="array" ref="D716">_xlfn.SWITCH(E716,"Bagor","35.18.14","Sukomoro",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6" s="13" t="s">
        <v>50</v>
      </c>
      <c r="F716" s="25" t="s">
        <v>1413</v>
      </c>
      <c r="G716" s="25" t="s">
        <v>1414</v>
      </c>
      <c r="H716" s="13" t="s">
        <v>9</v>
      </c>
      <c r="I716" s="14" t="s">
        <v>823</v>
      </c>
      <c r="J716" s="49">
        <f>65*12*14</f>
        <v>10920</v>
      </c>
      <c r="K716" s="13" t="s">
        <v>700</v>
      </c>
      <c r="L716" s="22">
        <v>78624000</v>
      </c>
      <c r="M716" s="46"/>
      <c r="N716" s="17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</row>
    <row r="717" spans="1:67" s="3" customFormat="1" ht="20" x14ac:dyDescent="0.2">
      <c r="A717" s="14" t="s">
        <v>2986</v>
      </c>
      <c r="B717" s="14" t="s">
        <v>18</v>
      </c>
      <c r="C717" s="14">
        <v>2025</v>
      </c>
      <c r="D717" s="14" t="str">
        <f t="array" ref="D717">_xlfn.SWITCH(E717,"Bagor","35.18.14","Sukomoro",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7" s="13" t="s">
        <v>50</v>
      </c>
      <c r="F717" s="25" t="s">
        <v>1415</v>
      </c>
      <c r="G717" s="25" t="s">
        <v>1416</v>
      </c>
      <c r="H717" s="13" t="s">
        <v>9</v>
      </c>
      <c r="I717" s="14" t="s">
        <v>1125</v>
      </c>
      <c r="J717" s="49">
        <f>3.5*12*14</f>
        <v>588</v>
      </c>
      <c r="K717" s="13" t="s">
        <v>700</v>
      </c>
      <c r="L717" s="22">
        <v>23520000</v>
      </c>
      <c r="M717" s="46"/>
      <c r="N717" s="17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</row>
    <row r="718" spans="1:67" s="3" customFormat="1" ht="20" x14ac:dyDescent="0.2">
      <c r="A718" s="14" t="s">
        <v>2986</v>
      </c>
      <c r="B718" s="14" t="s">
        <v>18</v>
      </c>
      <c r="C718" s="14">
        <v>2025</v>
      </c>
      <c r="D718" s="14" t="str">
        <f t="array" ref="D718">_xlfn.SWITCH(E718,"Bagor","35.18.14","Sukomoro",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8" s="13" t="s">
        <v>35</v>
      </c>
      <c r="F718" s="25" t="s">
        <v>1108</v>
      </c>
      <c r="G718" s="25" t="s">
        <v>1417</v>
      </c>
      <c r="H718" s="13" t="s">
        <v>20</v>
      </c>
      <c r="I718" s="14" t="s">
        <v>229</v>
      </c>
      <c r="J718" s="49">
        <f>25*12*4</f>
        <v>1200</v>
      </c>
      <c r="K718" s="13" t="s">
        <v>700</v>
      </c>
      <c r="L718" s="22">
        <v>93600000</v>
      </c>
      <c r="M718" s="46"/>
      <c r="N718" s="17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</row>
    <row r="719" spans="1:67" s="3" customFormat="1" x14ac:dyDescent="0.2">
      <c r="A719" s="14" t="s">
        <v>2986</v>
      </c>
      <c r="B719" s="14" t="s">
        <v>18</v>
      </c>
      <c r="C719" s="14">
        <v>2025</v>
      </c>
      <c r="D719" s="14" t="str">
        <f t="array" ref="D719">_xlfn.SWITCH(E719,"Bagor","35.18.14","Sukomoro",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9" s="13" t="s">
        <v>35</v>
      </c>
      <c r="F719" s="25" t="s">
        <v>1180</v>
      </c>
      <c r="G719" s="25" t="s">
        <v>1418</v>
      </c>
      <c r="H719" s="13" t="s">
        <v>20</v>
      </c>
      <c r="I719" s="14" t="s">
        <v>229</v>
      </c>
      <c r="J719" s="49">
        <f>50*12*7</f>
        <v>4200</v>
      </c>
      <c r="K719" s="13" t="s">
        <v>700</v>
      </c>
      <c r="L719" s="22">
        <v>327600000</v>
      </c>
      <c r="M719" s="46"/>
      <c r="N719" s="17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</row>
    <row r="720" spans="1:67" s="3" customFormat="1" x14ac:dyDescent="0.2">
      <c r="A720" s="14" t="s">
        <v>2986</v>
      </c>
      <c r="B720" s="14" t="s">
        <v>18</v>
      </c>
      <c r="C720" s="14">
        <v>2025</v>
      </c>
      <c r="D720" s="14" t="str">
        <f t="array" ref="D720">_xlfn.SWITCH(E720,"Jatikalen","35.18.20","Kertosono", "35.18.08","Lengkong","35.18.19","Loceret","35.18.04","Tanjunganom","35.18.11","Wilangan","35.18.15")</f>
        <v>35.18.15</v>
      </c>
      <c r="E720" s="13" t="s">
        <v>848</v>
      </c>
      <c r="F720" s="25" t="str">
        <f>F606</f>
        <v>Ds. Ngudikan</v>
      </c>
      <c r="G720" s="25" t="s">
        <v>1419</v>
      </c>
      <c r="H720" s="13" t="s">
        <v>9</v>
      </c>
      <c r="I720" s="14" t="s">
        <v>823</v>
      </c>
      <c r="J720" s="49">
        <f>35*12*7</f>
        <v>2940</v>
      </c>
      <c r="K720" s="13" t="s">
        <v>700</v>
      </c>
      <c r="L720" s="22">
        <v>21168000</v>
      </c>
      <c r="M720" s="46"/>
      <c r="N720" s="17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</row>
    <row r="721" spans="1:67" s="3" customFormat="1" x14ac:dyDescent="0.2">
      <c r="A721" s="14" t="s">
        <v>2986</v>
      </c>
      <c r="B721" s="14" t="s">
        <v>18</v>
      </c>
      <c r="C721" s="14">
        <v>2025</v>
      </c>
      <c r="D721" s="14" t="str">
        <f t="array" ref="D721">_xlfn.SWITCH(E721,"Jatikalen","35.18.20","Kertosono", "35.18.08","Lengkong","35.18.19","Loceret","35.18.04","Tanjunganom","35.18.11","Wilangan","35.18.15")</f>
        <v>35.18.15</v>
      </c>
      <c r="E721" s="13" t="s">
        <v>848</v>
      </c>
      <c r="F721" s="25" t="str">
        <f>F607</f>
        <v>Ds. Ngudikan</v>
      </c>
      <c r="G721" s="25" t="s">
        <v>1420</v>
      </c>
      <c r="H721" s="13" t="s">
        <v>9</v>
      </c>
      <c r="I721" s="14" t="s">
        <v>823</v>
      </c>
      <c r="J721" s="49">
        <f>20*12*7</f>
        <v>1680</v>
      </c>
      <c r="K721" s="13" t="s">
        <v>700</v>
      </c>
      <c r="L721" s="22">
        <v>12600000</v>
      </c>
      <c r="M721" s="46"/>
      <c r="N721" s="17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</row>
    <row r="722" spans="1:67" s="3" customFormat="1" x14ac:dyDescent="0.2">
      <c r="A722" s="14" t="s">
        <v>2986</v>
      </c>
      <c r="B722" s="14" t="s">
        <v>18</v>
      </c>
      <c r="C722" s="14">
        <v>2025</v>
      </c>
      <c r="D722" s="14" t="str">
        <f t="array" ref="D722">_xlfn.SWITCH(E722,"Jatikalen","35.18.20","Kertosono", "35.18.08","Lengkong","35.18.19","Loceret","35.18.04","Tanjunganom","35.18.11","Wilangan","35.18.15")</f>
        <v>35.18.15</v>
      </c>
      <c r="E722" s="13" t="s">
        <v>848</v>
      </c>
      <c r="F722" s="25" t="str">
        <f>F608</f>
        <v>Ds. Ngudikan</v>
      </c>
      <c r="G722" s="25" t="s">
        <v>1380</v>
      </c>
      <c r="H722" s="13" t="s">
        <v>20</v>
      </c>
      <c r="I722" s="14" t="s">
        <v>36</v>
      </c>
      <c r="J722" s="49">
        <f>1.5*12*26</f>
        <v>468</v>
      </c>
      <c r="K722" s="13" t="s">
        <v>34</v>
      </c>
      <c r="L722" s="22">
        <v>234000000</v>
      </c>
      <c r="M722" s="46"/>
      <c r="N722" s="17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</row>
    <row r="723" spans="1:67" s="3" customFormat="1" x14ac:dyDescent="0.2">
      <c r="A723" s="14" t="s">
        <v>2986</v>
      </c>
      <c r="B723" s="14" t="s">
        <v>18</v>
      </c>
      <c r="C723" s="14">
        <v>2025</v>
      </c>
      <c r="D723" s="14" t="str">
        <f t="array" ref="D723">_xlfn.SWITCH(E723,"Bagor","35.18.14","Sukomoro",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23" s="13" t="s">
        <v>18</v>
      </c>
      <c r="F723" s="25" t="s">
        <v>1421</v>
      </c>
      <c r="G723" s="25" t="s">
        <v>1422</v>
      </c>
      <c r="H723" s="13" t="s">
        <v>43</v>
      </c>
      <c r="I723" s="14" t="s">
        <v>1423</v>
      </c>
      <c r="J723" s="49">
        <f>20*12*7</f>
        <v>1680</v>
      </c>
      <c r="K723" s="13" t="s">
        <v>34</v>
      </c>
      <c r="L723" s="22">
        <v>218400000</v>
      </c>
      <c r="M723" s="46"/>
      <c r="N723" s="17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</row>
    <row r="724" spans="1:67" s="3" customFormat="1" x14ac:dyDescent="0.2">
      <c r="A724" s="14" t="s">
        <v>2986</v>
      </c>
      <c r="B724" s="14" t="s">
        <v>18</v>
      </c>
      <c r="C724" s="14">
        <v>2025</v>
      </c>
      <c r="D724" s="14" t="str">
        <f t="array" ref="D724">_xlfn.SWITCH(E724,"Bagor","35.18.14","Sukomoro",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4" s="13" t="s">
        <v>65</v>
      </c>
      <c r="F724" s="25" t="s">
        <v>1424</v>
      </c>
      <c r="G724" s="25" t="s">
        <v>1425</v>
      </c>
      <c r="H724" s="13" t="s">
        <v>20</v>
      </c>
      <c r="I724" s="14" t="s">
        <v>36</v>
      </c>
      <c r="J724" s="49">
        <f>10*12*26</f>
        <v>3120</v>
      </c>
      <c r="K724" s="13" t="s">
        <v>34</v>
      </c>
      <c r="L724" s="22">
        <v>624000000</v>
      </c>
      <c r="M724" s="46"/>
      <c r="N724" s="17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</row>
    <row r="725" spans="1:67" s="3" customFormat="1" x14ac:dyDescent="0.2">
      <c r="A725" s="14" t="s">
        <v>2986</v>
      </c>
      <c r="B725" s="14" t="s">
        <v>18</v>
      </c>
      <c r="C725" s="14">
        <v>2025</v>
      </c>
      <c r="D725" s="14" t="str">
        <f t="array" ref="D725">_xlfn.SWITCH(E725,"Bagor","35.18.14","Sukomoro",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5" s="13" t="s">
        <v>65</v>
      </c>
      <c r="F725" s="25" t="s">
        <v>1424</v>
      </c>
      <c r="G725" s="25" t="s">
        <v>1426</v>
      </c>
      <c r="H725" s="13" t="s">
        <v>20</v>
      </c>
      <c r="I725" s="14" t="s">
        <v>36</v>
      </c>
      <c r="J725" s="49">
        <f>3*12*26</f>
        <v>936</v>
      </c>
      <c r="K725" s="13" t="s">
        <v>34</v>
      </c>
      <c r="L725" s="22">
        <v>252700000</v>
      </c>
      <c r="M725" s="46"/>
      <c r="N725" s="17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</row>
    <row r="726" spans="1:67" s="3" customFormat="1" x14ac:dyDescent="0.2">
      <c r="A726" s="14" t="s">
        <v>2986</v>
      </c>
      <c r="B726" s="14" t="s">
        <v>18</v>
      </c>
      <c r="C726" s="14">
        <v>2025</v>
      </c>
      <c r="D726" s="14" t="str">
        <f t="array" ref="D726">_xlfn.SWITCH(E726,"Jatikalen","35.18.20","Kertosono", "35.18.08","Lengkong","35.18.19","Loceret","35.18.04","Tanjunganom","35.18.11","Wilangan","35.18.15")</f>
        <v>35.18.11</v>
      </c>
      <c r="E726" s="13" t="s">
        <v>27</v>
      </c>
      <c r="F726" s="25" t="s">
        <v>1427</v>
      </c>
      <c r="G726" s="25" t="s">
        <v>1428</v>
      </c>
      <c r="H726" s="13" t="s">
        <v>9</v>
      </c>
      <c r="I726" s="14" t="s">
        <v>1429</v>
      </c>
      <c r="J726" s="49">
        <f>2*12*26</f>
        <v>624</v>
      </c>
      <c r="K726" s="13" t="s">
        <v>953</v>
      </c>
      <c r="L726" s="22">
        <v>31200000</v>
      </c>
      <c r="M726" s="46"/>
      <c r="N726" s="17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</row>
    <row r="727" spans="1:67" s="3" customFormat="1" x14ac:dyDescent="0.2">
      <c r="A727" s="14" t="s">
        <v>2986</v>
      </c>
      <c r="B727" s="14" t="s">
        <v>18</v>
      </c>
      <c r="C727" s="14">
        <v>2025</v>
      </c>
      <c r="D727" s="14" t="str">
        <f t="array" ref="D727">_xlfn.SWITCH(E727,"Jatikalen","35.18.20","Kertosono", "35.18.08","Lengkong","35.18.19","Loceret","35.18.04","Tanjunganom","35.18.11","Wilangan","35.18.15")</f>
        <v>35.18.11</v>
      </c>
      <c r="E727" s="13" t="s">
        <v>27</v>
      </c>
      <c r="F727" s="25" t="s">
        <v>1430</v>
      </c>
      <c r="G727" s="25" t="s">
        <v>1431</v>
      </c>
      <c r="H727" s="13" t="s">
        <v>9</v>
      </c>
      <c r="I727" s="14" t="s">
        <v>1432</v>
      </c>
      <c r="J727" s="49">
        <f>20000</f>
        <v>20000</v>
      </c>
      <c r="K727" s="13" t="s">
        <v>953</v>
      </c>
      <c r="L727" s="22">
        <v>70000000</v>
      </c>
      <c r="M727" s="46"/>
      <c r="N727" s="17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</row>
    <row r="728" spans="1:67" s="3" customFormat="1" x14ac:dyDescent="0.2">
      <c r="A728" s="14" t="s">
        <v>2986</v>
      </c>
      <c r="B728" s="14" t="s">
        <v>18</v>
      </c>
      <c r="C728" s="14">
        <v>2025</v>
      </c>
      <c r="D728" s="14" t="str">
        <f t="array" ref="D728">_xlfn.SWITCH(E728,"Jatikalen","35.18.20","Kertosono", "35.18.08","Lengkong","35.18.19","Loceret","35.18.04","Tanjunganom","35.18.11","Wilangan","35.18.15")</f>
        <v>35.18.11</v>
      </c>
      <c r="E728" s="13" t="s">
        <v>27</v>
      </c>
      <c r="F728" s="25" t="s">
        <v>1427</v>
      </c>
      <c r="G728" s="25" t="s">
        <v>1433</v>
      </c>
      <c r="H728" s="13" t="s">
        <v>9</v>
      </c>
      <c r="I728" s="14" t="s">
        <v>1434</v>
      </c>
      <c r="J728" s="49">
        <v>14000</v>
      </c>
      <c r="K728" s="13" t="s">
        <v>953</v>
      </c>
      <c r="L728" s="22">
        <v>51800000</v>
      </c>
      <c r="M728" s="46"/>
      <c r="N728" s="17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</row>
    <row r="729" spans="1:67" s="3" customFormat="1" x14ac:dyDescent="0.2">
      <c r="A729" s="14" t="s">
        <v>2986</v>
      </c>
      <c r="B729" s="14" t="s">
        <v>18</v>
      </c>
      <c r="C729" s="14">
        <v>2025</v>
      </c>
      <c r="D729" s="14" t="str">
        <f t="array" ref="D729">_xlfn.SWITCH(E729,"Jatikalen","35.18.20","Kertosono", "35.18.08","Lengkong","35.18.19","Loceret","35.18.04","Tanjunganom","35.18.11","Wilangan","35.18.15")</f>
        <v>35.18.11</v>
      </c>
      <c r="E729" s="13" t="s">
        <v>27</v>
      </c>
      <c r="F729" s="25" t="s">
        <v>1427</v>
      </c>
      <c r="G729" s="25" t="s">
        <v>1435</v>
      </c>
      <c r="H729" s="13" t="s">
        <v>9</v>
      </c>
      <c r="I729" s="14" t="s">
        <v>1434</v>
      </c>
      <c r="J729" s="49">
        <v>7000</v>
      </c>
      <c r="K729" s="13" t="s">
        <v>953</v>
      </c>
      <c r="L729" s="22">
        <v>24500000</v>
      </c>
      <c r="M729" s="46"/>
      <c r="N729" s="17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</row>
    <row r="730" spans="1:67" s="3" customFormat="1" x14ac:dyDescent="0.2">
      <c r="A730" s="14" t="s">
        <v>2986</v>
      </c>
      <c r="B730" s="14" t="s">
        <v>18</v>
      </c>
      <c r="C730" s="14">
        <v>2025</v>
      </c>
      <c r="D730" s="14" t="str">
        <f t="array" ref="D730">_xlfn.SWITCH(E730,"Jatikalen","35.18.20","Kertosono", "35.18.08","Lengkong","35.18.19","Loceret","35.18.04","Tanjunganom","35.18.11","Wilangan","35.18.15")</f>
        <v>35.18.11</v>
      </c>
      <c r="E730" s="13" t="s">
        <v>27</v>
      </c>
      <c r="F730" s="25" t="s">
        <v>1427</v>
      </c>
      <c r="G730" s="25" t="s">
        <v>1436</v>
      </c>
      <c r="H730" s="13" t="s">
        <v>9</v>
      </c>
      <c r="I730" s="14" t="s">
        <v>1434</v>
      </c>
      <c r="J730" s="49">
        <v>10000</v>
      </c>
      <c r="K730" s="13" t="s">
        <v>953</v>
      </c>
      <c r="L730" s="22">
        <v>38000000</v>
      </c>
      <c r="M730" s="46"/>
      <c r="N730" s="17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</row>
    <row r="731" spans="1:67" s="3" customFormat="1" x14ac:dyDescent="0.2">
      <c r="A731" s="14" t="s">
        <v>2986</v>
      </c>
      <c r="B731" s="14" t="s">
        <v>18</v>
      </c>
      <c r="C731" s="14">
        <v>2025</v>
      </c>
      <c r="D731" s="14" t="str">
        <f t="array" ref="D731">_xlfn.SWITCH(E731,"Jatikalen","35.18.20","Kertosono", "35.18.08","Lengkong","35.18.19","Loceret","35.18.04","Tanjunganom","35.18.11","Wilangan","35.18.15")</f>
        <v>35.18.11</v>
      </c>
      <c r="E731" s="13" t="s">
        <v>27</v>
      </c>
      <c r="F731" s="25" t="s">
        <v>1427</v>
      </c>
      <c r="G731" s="25" t="s">
        <v>1437</v>
      </c>
      <c r="H731" s="13" t="s">
        <v>9</v>
      </c>
      <c r="I731" s="14" t="s">
        <v>1434</v>
      </c>
      <c r="J731" s="49">
        <v>10000</v>
      </c>
      <c r="K731" s="13" t="s">
        <v>953</v>
      </c>
      <c r="L731" s="22">
        <v>30000000</v>
      </c>
      <c r="M731" s="46"/>
      <c r="N731" s="17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</row>
    <row r="732" spans="1:67" s="3" customFormat="1" x14ac:dyDescent="0.2">
      <c r="A732" s="14" t="s">
        <v>2986</v>
      </c>
      <c r="B732" s="14" t="s">
        <v>18</v>
      </c>
      <c r="C732" s="14">
        <v>2025</v>
      </c>
      <c r="D732" s="14" t="str">
        <f t="array" ref="D732">_xlfn.SWITCH(E732,"Bagor","35.18.14","Sukomoro",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2" s="13" t="s">
        <v>50</v>
      </c>
      <c r="F732" s="25" t="s">
        <v>870</v>
      </c>
      <c r="G732" s="25" t="s">
        <v>1334</v>
      </c>
      <c r="H732" s="13" t="s">
        <v>9</v>
      </c>
      <c r="I732" s="14" t="s">
        <v>1438</v>
      </c>
      <c r="J732" s="49">
        <f>1.5*12*26</f>
        <v>468</v>
      </c>
      <c r="K732" s="13" t="s">
        <v>45</v>
      </c>
      <c r="L732" s="22">
        <v>56160000</v>
      </c>
      <c r="M732" s="46"/>
      <c r="N732" s="17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</row>
    <row r="733" spans="1:67" s="3" customFormat="1" x14ac:dyDescent="0.2">
      <c r="A733" s="14" t="s">
        <v>2986</v>
      </c>
      <c r="B733" s="14" t="s">
        <v>18</v>
      </c>
      <c r="C733" s="14">
        <v>2025</v>
      </c>
      <c r="D733" s="14" t="str">
        <f t="array" ref="D733">_xlfn.SWITCH(E733,"Bagor","35.18.14","Sukomoro",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3" s="13" t="s">
        <v>50</v>
      </c>
      <c r="F733" s="25" t="s">
        <v>870</v>
      </c>
      <c r="G733" s="25" t="s">
        <v>1439</v>
      </c>
      <c r="H733" s="13" t="s">
        <v>9</v>
      </c>
      <c r="I733" s="14" t="s">
        <v>166</v>
      </c>
      <c r="J733" s="49">
        <f>50*12*26</f>
        <v>15600</v>
      </c>
      <c r="K733" s="13" t="s">
        <v>1312</v>
      </c>
      <c r="L733" s="22">
        <v>140400000</v>
      </c>
      <c r="M733" s="46"/>
      <c r="N733" s="17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</row>
    <row r="734" spans="1:67" s="3" customFormat="1" x14ac:dyDescent="0.2">
      <c r="A734" s="14" t="s">
        <v>2986</v>
      </c>
      <c r="B734" s="14" t="s">
        <v>18</v>
      </c>
      <c r="C734" s="14">
        <v>2025</v>
      </c>
      <c r="D734" s="14" t="str">
        <f t="array" ref="D734">_xlfn.SWITCH(E734,"Bagor","35.18.14","Sukomoro",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4" s="13" t="s">
        <v>50</v>
      </c>
      <c r="F734" s="25" t="s">
        <v>870</v>
      </c>
      <c r="G734" s="25" t="s">
        <v>1440</v>
      </c>
      <c r="H734" s="13" t="s">
        <v>9</v>
      </c>
      <c r="I734" s="14" t="s">
        <v>109</v>
      </c>
      <c r="J734" s="49">
        <f>100*12*26</f>
        <v>31200</v>
      </c>
      <c r="K734" s="13" t="s">
        <v>700</v>
      </c>
      <c r="L734" s="22">
        <v>124800000</v>
      </c>
      <c r="M734" s="46"/>
      <c r="N734" s="17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</row>
    <row r="735" spans="1:67" s="3" customFormat="1" x14ac:dyDescent="0.2">
      <c r="A735" s="14" t="s">
        <v>2986</v>
      </c>
      <c r="B735" s="14" t="s">
        <v>18</v>
      </c>
      <c r="C735" s="14">
        <v>2025</v>
      </c>
      <c r="D735" s="14" t="str">
        <f t="array" ref="D735">_xlfn.SWITCH(E735,"Bagor","35.18.14","Sukomoro",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5" s="13" t="s">
        <v>50</v>
      </c>
      <c r="F735" s="25" t="s">
        <v>870</v>
      </c>
      <c r="G735" s="25" t="s">
        <v>1441</v>
      </c>
      <c r="H735" s="13" t="s">
        <v>9</v>
      </c>
      <c r="I735" s="14" t="s">
        <v>109</v>
      </c>
      <c r="J735" s="49">
        <f>1*12*26</f>
        <v>312</v>
      </c>
      <c r="K735" s="13" t="s">
        <v>902</v>
      </c>
      <c r="L735" s="22">
        <v>171600000</v>
      </c>
      <c r="M735" s="46"/>
      <c r="N735" s="17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</row>
    <row r="736" spans="1:67" s="3" customFormat="1" x14ac:dyDescent="0.2">
      <c r="A736" s="14" t="s">
        <v>2986</v>
      </c>
      <c r="B736" s="14" t="s">
        <v>18</v>
      </c>
      <c r="C736" s="14">
        <v>2025</v>
      </c>
      <c r="D736" s="14" t="str">
        <f t="array" ref="D736">_xlfn.SWITCH(E736,"Jatikalen","35.18.20","Kertosono", "35.18.08","Lengkong","35.18.19","Loceret","35.18.04","Tanjunganom","35.18.11","Wilangan","35.18.15")</f>
        <v>35.18.11</v>
      </c>
      <c r="E736" s="13" t="s">
        <v>27</v>
      </c>
      <c r="F736" s="25" t="s">
        <v>1427</v>
      </c>
      <c r="G736" s="25" t="s">
        <v>1442</v>
      </c>
      <c r="H736" s="13" t="s">
        <v>9</v>
      </c>
      <c r="I736" s="14" t="s">
        <v>1443</v>
      </c>
      <c r="J736" s="49">
        <f>20*12*26</f>
        <v>6240</v>
      </c>
      <c r="K736" s="13" t="s">
        <v>1186</v>
      </c>
      <c r="L736" s="22">
        <v>31200000</v>
      </c>
      <c r="M736" s="46"/>
      <c r="N736" s="17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</row>
    <row r="737" spans="1:67" s="3" customFormat="1" x14ac:dyDescent="0.2">
      <c r="A737" s="14" t="s">
        <v>2986</v>
      </c>
      <c r="B737" s="14" t="s">
        <v>18</v>
      </c>
      <c r="C737" s="14">
        <v>2025</v>
      </c>
      <c r="D737" s="14" t="str">
        <f t="array" ref="D737">_xlfn.SWITCH(E737,"Jatikalen","35.18.20","Kertosono", "35.18.08","Lengkong","35.18.19","Loceret","35.18.04","Tanjunganom","35.18.11","Wilangan","35.18.15")</f>
        <v>35.18.11</v>
      </c>
      <c r="E737" s="13" t="s">
        <v>27</v>
      </c>
      <c r="F737" s="25" t="s">
        <v>895</v>
      </c>
      <c r="G737" s="25" t="s">
        <v>1444</v>
      </c>
      <c r="H737" s="13" t="s">
        <v>20</v>
      </c>
      <c r="I737" s="14" t="s">
        <v>1101</v>
      </c>
      <c r="J737" s="49">
        <f>3*12*26</f>
        <v>936</v>
      </c>
      <c r="K737" s="13" t="s">
        <v>34</v>
      </c>
      <c r="L737" s="22">
        <v>140400000</v>
      </c>
      <c r="M737" s="46"/>
      <c r="N737" s="17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</row>
    <row r="738" spans="1:67" s="3" customFormat="1" x14ac:dyDescent="0.2">
      <c r="A738" s="14" t="s">
        <v>2986</v>
      </c>
      <c r="B738" s="14" t="s">
        <v>18</v>
      </c>
      <c r="C738" s="14">
        <v>2025</v>
      </c>
      <c r="D738" s="14" t="str">
        <f t="array" ref="D738">_xlfn.SWITCH(E738,"Bagor","35.18.14","Sukomoro",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8" s="13" t="s">
        <v>102</v>
      </c>
      <c r="F738" s="25" t="s">
        <v>1289</v>
      </c>
      <c r="G738" s="25" t="s">
        <v>1445</v>
      </c>
      <c r="H738" s="13" t="s">
        <v>9</v>
      </c>
      <c r="I738" s="14" t="s">
        <v>114</v>
      </c>
      <c r="J738" s="49">
        <f>125*12</f>
        <v>1500</v>
      </c>
      <c r="K738" s="13" t="s">
        <v>700</v>
      </c>
      <c r="L738" s="22">
        <v>10500000</v>
      </c>
      <c r="M738" s="46"/>
      <c r="N738" s="17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</row>
    <row r="739" spans="1:67" s="3" customFormat="1" x14ac:dyDescent="0.2">
      <c r="A739" s="14" t="s">
        <v>2986</v>
      </c>
      <c r="B739" s="14" t="s">
        <v>18</v>
      </c>
      <c r="C739" s="14">
        <v>2025</v>
      </c>
      <c r="D739" s="14" t="str">
        <f t="array" ref="D739">_xlfn.SWITCH(E739,"Bagor","35.18.14","Sukomoro",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9" s="13" t="s">
        <v>102</v>
      </c>
      <c r="F739" s="25" t="s">
        <v>1289</v>
      </c>
      <c r="G739" s="25" t="s">
        <v>1446</v>
      </c>
      <c r="H739" s="13" t="s">
        <v>9</v>
      </c>
      <c r="I739" s="14" t="s">
        <v>114</v>
      </c>
      <c r="J739" s="49">
        <f>100*12</f>
        <v>1200</v>
      </c>
      <c r="K739" s="13" t="s">
        <v>700</v>
      </c>
      <c r="L739" s="22">
        <v>9000000</v>
      </c>
      <c r="M739" s="46"/>
      <c r="N739" s="17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</row>
    <row r="740" spans="1:67" s="3" customFormat="1" x14ac:dyDescent="0.2">
      <c r="A740" s="14" t="s">
        <v>2986</v>
      </c>
      <c r="B740" s="14" t="s">
        <v>18</v>
      </c>
      <c r="C740" s="14">
        <v>2025</v>
      </c>
      <c r="D740" s="14" t="str">
        <f t="array" ref="D740">_xlfn.SWITCH(E740,"Jatikalen","35.18.20","Kertosono", "35.18.08","Lengkong","35.18.19","Loceret","35.18.04","Tanjunganom","35.18.11","Wilangan","35.18.15")</f>
        <v>35.18.11</v>
      </c>
      <c r="E740" s="13" t="s">
        <v>27</v>
      </c>
      <c r="F740" s="25" t="s">
        <v>1273</v>
      </c>
      <c r="G740" s="25" t="s">
        <v>1274</v>
      </c>
      <c r="H740" s="13" t="s">
        <v>9</v>
      </c>
      <c r="I740" s="14" t="s">
        <v>36</v>
      </c>
      <c r="J740" s="49">
        <f>4*12</f>
        <v>48</v>
      </c>
      <c r="K740" s="13" t="s">
        <v>34</v>
      </c>
      <c r="L740" s="22">
        <v>120000000</v>
      </c>
      <c r="M740" s="46"/>
      <c r="N740" s="17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</row>
    <row r="741" spans="1:67" s="3" customFormat="1" x14ac:dyDescent="0.2">
      <c r="A741" s="14" t="s">
        <v>2986</v>
      </c>
      <c r="B741" s="14" t="s">
        <v>18</v>
      </c>
      <c r="C741" s="14">
        <v>2025</v>
      </c>
      <c r="D741" s="14" t="str">
        <f t="array" ref="D741">_xlfn.SWITCH(E741,"Jatikalen","35.18.20","Kertosono", "35.18.08","Lengkong","35.18.19","Loceret","35.18.04","Tanjunganom","35.18.11","Wilangan","35.18.15")</f>
        <v>35.18.04</v>
      </c>
      <c r="E741" s="13" t="s">
        <v>15</v>
      </c>
      <c r="F741" s="25" t="s">
        <v>1447</v>
      </c>
      <c r="G741" s="25" t="s">
        <v>1448</v>
      </c>
      <c r="H741" s="13" t="s">
        <v>9</v>
      </c>
      <c r="I741" s="14" t="s">
        <v>166</v>
      </c>
      <c r="J741" s="49">
        <f>50*12</f>
        <v>600</v>
      </c>
      <c r="K741" s="13" t="s">
        <v>1312</v>
      </c>
      <c r="L741" s="22">
        <v>18000000</v>
      </c>
      <c r="M741" s="46"/>
      <c r="N741" s="17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</row>
    <row r="742" spans="1:67" s="3" customFormat="1" x14ac:dyDescent="0.2">
      <c r="A742" s="14" t="s">
        <v>2986</v>
      </c>
      <c r="B742" s="14" t="s">
        <v>18</v>
      </c>
      <c r="C742" s="14">
        <v>2025</v>
      </c>
      <c r="D742" s="14" t="str">
        <f t="array" ref="D742">_xlfn.SWITCH(E742,"Jatikalen","35.18.20","Kertosono", "35.18.08","Lengkong","35.18.19","Loceret","35.18.04","Tanjunganom","35.18.11","Wilangan","35.18.15")</f>
        <v>35.18.04</v>
      </c>
      <c r="E742" s="13" t="s">
        <v>15</v>
      </c>
      <c r="F742" s="25" t="s">
        <v>1449</v>
      </c>
      <c r="G742" s="25" t="s">
        <v>1450</v>
      </c>
      <c r="H742" s="13" t="s">
        <v>9</v>
      </c>
      <c r="I742" s="14" t="s">
        <v>166</v>
      </c>
      <c r="J742" s="49">
        <f>100*12*4</f>
        <v>4800</v>
      </c>
      <c r="K742" s="13" t="s">
        <v>1312</v>
      </c>
      <c r="L742" s="22">
        <v>144000000</v>
      </c>
      <c r="M742" s="46"/>
      <c r="N742" s="17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</row>
    <row r="743" spans="1:67" s="3" customFormat="1" x14ac:dyDescent="0.2">
      <c r="A743" s="14" t="s">
        <v>2986</v>
      </c>
      <c r="B743" s="14" t="s">
        <v>18</v>
      </c>
      <c r="C743" s="14">
        <v>2025</v>
      </c>
      <c r="D743" s="14" t="str">
        <f t="array" ref="D743">_xlfn.SWITCH(E743,"Jatikalen","35.18.20","Kertosono", "35.18.08","Lengkong","35.18.19","Loceret","35.18.04","Tanjunganom","35.18.11","Wilangan","35.18.15")</f>
        <v>35.18.04</v>
      </c>
      <c r="E743" s="13" t="s">
        <v>15</v>
      </c>
      <c r="F743" s="25" t="s">
        <v>1449</v>
      </c>
      <c r="G743" s="25" t="s">
        <v>1451</v>
      </c>
      <c r="H743" s="13" t="s">
        <v>9</v>
      </c>
      <c r="I743" s="14" t="s">
        <v>166</v>
      </c>
      <c r="J743" s="49">
        <f>200*12</f>
        <v>2400</v>
      </c>
      <c r="K743" s="13" t="s">
        <v>1312</v>
      </c>
      <c r="L743" s="22">
        <v>72000000</v>
      </c>
      <c r="M743" s="46"/>
      <c r="N743" s="17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</row>
    <row r="744" spans="1:67" s="3" customFormat="1" x14ac:dyDescent="0.2">
      <c r="A744" s="14" t="s">
        <v>2986</v>
      </c>
      <c r="B744" s="14" t="s">
        <v>18</v>
      </c>
      <c r="C744" s="14">
        <v>2025</v>
      </c>
      <c r="D744" s="14" t="str">
        <f t="array" ref="D744">_xlfn.SWITCH(E744,"Jatikalen","35.18.20","Kertosono", "35.18.08","Lengkong","35.18.19","Loceret","35.18.04","Tanjunganom","35.18.11","Wilangan","35.18.15")</f>
        <v>35.18.04</v>
      </c>
      <c r="E744" s="13" t="s">
        <v>15</v>
      </c>
      <c r="F744" s="25" t="s">
        <v>1449</v>
      </c>
      <c r="G744" s="25" t="s">
        <v>1452</v>
      </c>
      <c r="H744" s="13" t="s">
        <v>9</v>
      </c>
      <c r="I744" s="14" t="s">
        <v>166</v>
      </c>
      <c r="J744" s="49">
        <f>200*12*4</f>
        <v>9600</v>
      </c>
      <c r="K744" s="13" t="s">
        <v>1312</v>
      </c>
      <c r="L744" s="22">
        <v>288000000</v>
      </c>
      <c r="M744" s="46"/>
      <c r="N744" s="17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</row>
    <row r="745" spans="1:67" s="3" customFormat="1" x14ac:dyDescent="0.2">
      <c r="A745" s="14" t="s">
        <v>2986</v>
      </c>
      <c r="B745" s="14" t="s">
        <v>18</v>
      </c>
      <c r="C745" s="14">
        <v>2025</v>
      </c>
      <c r="D745" s="14" t="str">
        <f t="array" ref="D745">_xlfn.SWITCH(E745,"Jatikalen","35.18.20","Kertosono", "35.18.08","Lengkong","35.18.19","Loceret","35.18.04","Tanjunganom","35.18.11","Wilangan","35.18.15")</f>
        <v>35.18.20</v>
      </c>
      <c r="E745" s="13" t="s">
        <v>801</v>
      </c>
      <c r="F745" s="25" t="s">
        <v>1453</v>
      </c>
      <c r="G745" s="25" t="s">
        <v>1454</v>
      </c>
      <c r="H745" s="13" t="s">
        <v>9</v>
      </c>
      <c r="I745" s="14" t="s">
        <v>1455</v>
      </c>
      <c r="J745" s="49">
        <f>3*4*12</f>
        <v>144</v>
      </c>
      <c r="K745" s="13" t="s">
        <v>1011</v>
      </c>
      <c r="L745" s="22">
        <v>32400000</v>
      </c>
      <c r="M745" s="46"/>
      <c r="N745" s="17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</row>
    <row r="746" spans="1:67" s="3" customFormat="1" ht="20" x14ac:dyDescent="0.2">
      <c r="A746" s="14" t="s">
        <v>2986</v>
      </c>
      <c r="B746" s="14" t="s">
        <v>18</v>
      </c>
      <c r="C746" s="14">
        <v>2025</v>
      </c>
      <c r="D746" s="14" t="str">
        <f t="array" ref="D746">_xlfn.SWITCH(E746,"Jatikalen","35.18.20","Kertosono", "35.18.08","Lengkong","35.18.19","Loceret","35.18.04","Tanjunganom","35.18.11","Wilangan","35.18.15")</f>
        <v>35.18.20</v>
      </c>
      <c r="E746" s="13" t="s">
        <v>801</v>
      </c>
      <c r="F746" s="25" t="s">
        <v>1456</v>
      </c>
      <c r="G746" s="25" t="s">
        <v>1457</v>
      </c>
      <c r="H746" s="13" t="s">
        <v>9</v>
      </c>
      <c r="I746" s="14" t="s">
        <v>1458</v>
      </c>
      <c r="J746" s="49">
        <v>90</v>
      </c>
      <c r="K746" s="13" t="s">
        <v>1068</v>
      </c>
      <c r="L746" s="22">
        <v>55296000</v>
      </c>
      <c r="M746" s="46"/>
      <c r="N746" s="17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</row>
    <row r="747" spans="1:67" s="3" customFormat="1" x14ac:dyDescent="0.2">
      <c r="A747" s="14" t="s">
        <v>2986</v>
      </c>
      <c r="B747" s="14" t="s">
        <v>18</v>
      </c>
      <c r="C747" s="14">
        <v>2025</v>
      </c>
      <c r="D747" s="14" t="str">
        <f t="array" ref="D747">_xlfn.SWITCH(E747,"Jatikalen","35.18.20","Kertosono", "35.18.08","Lengkong","35.18.19","Loceret","35.18.04","Tanjunganom","35.18.11","Wilangan","35.18.15")</f>
        <v>35.18.20</v>
      </c>
      <c r="E747" s="13" t="s">
        <v>801</v>
      </c>
      <c r="F747" s="25" t="s">
        <v>1459</v>
      </c>
      <c r="G747" s="25" t="s">
        <v>1460</v>
      </c>
      <c r="H747" s="13" t="s">
        <v>9</v>
      </c>
      <c r="I747" s="14" t="s">
        <v>823</v>
      </c>
      <c r="J747" s="49">
        <f>40*12*26</f>
        <v>12480</v>
      </c>
      <c r="K747" s="13" t="s">
        <v>700</v>
      </c>
      <c r="L747" s="22">
        <v>124800000</v>
      </c>
      <c r="M747" s="46"/>
      <c r="N747" s="17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</row>
    <row r="748" spans="1:67" s="3" customFormat="1" x14ac:dyDescent="0.2">
      <c r="A748" s="14" t="s">
        <v>2986</v>
      </c>
      <c r="B748" s="14" t="s">
        <v>18</v>
      </c>
      <c r="C748" s="14">
        <v>2025</v>
      </c>
      <c r="D748" s="14" t="str">
        <f t="array" ref="D748">_xlfn.SWITCH(E748,"Jatikalen","35.18.20","Kertosono", "35.18.08","Lengkong","35.18.19","Loceret","35.18.04","Tanjunganom","35.18.11","Wilangan","35.18.15")</f>
        <v>35.18.20</v>
      </c>
      <c r="E748" s="13" t="s">
        <v>801</v>
      </c>
      <c r="F748" s="25" t="s">
        <v>1461</v>
      </c>
      <c r="G748" s="25" t="s">
        <v>1462</v>
      </c>
      <c r="H748" s="13" t="s">
        <v>9</v>
      </c>
      <c r="I748" s="14" t="s">
        <v>1455</v>
      </c>
      <c r="J748" s="49">
        <v>144</v>
      </c>
      <c r="K748" s="13" t="s">
        <v>1011</v>
      </c>
      <c r="L748" s="22">
        <v>2160000</v>
      </c>
      <c r="M748" s="46"/>
      <c r="N748" s="17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</row>
    <row r="749" spans="1:67" s="3" customFormat="1" x14ac:dyDescent="0.2">
      <c r="A749" s="14" t="s">
        <v>2986</v>
      </c>
      <c r="B749" s="14" t="s">
        <v>18</v>
      </c>
      <c r="C749" s="14">
        <v>2025</v>
      </c>
      <c r="D749" s="14" t="str">
        <f t="array" ref="D749">_xlfn.SWITCH(E749,"Jatikalen","35.18.20","Kertosono", "35.18.08","Lengkong","35.18.19","Loceret","35.18.04","Tanjunganom","35.18.11","Wilangan","35.18.15")</f>
        <v>35.18.20</v>
      </c>
      <c r="E749" s="13" t="s">
        <v>801</v>
      </c>
      <c r="F749" s="25" t="s">
        <v>1453</v>
      </c>
      <c r="G749" s="25" t="s">
        <v>1463</v>
      </c>
      <c r="H749" s="13" t="s">
        <v>9</v>
      </c>
      <c r="I749" s="14" t="s">
        <v>1455</v>
      </c>
      <c r="J749" s="49">
        <v>144</v>
      </c>
      <c r="K749" s="13" t="s">
        <v>1011</v>
      </c>
      <c r="L749" s="22">
        <v>2160000</v>
      </c>
      <c r="M749" s="46"/>
      <c r="N749" s="17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</row>
    <row r="750" spans="1:67" s="3" customFormat="1" x14ac:dyDescent="0.2">
      <c r="A750" s="14" t="s">
        <v>2986</v>
      </c>
      <c r="B750" s="14" t="s">
        <v>18</v>
      </c>
      <c r="C750" s="14">
        <v>2025</v>
      </c>
      <c r="D750" s="14" t="str">
        <f t="array" ref="D750">_xlfn.SWITCH(E750,"Jatikalen","35.18.20","Kertosono", "35.18.08","Lengkong","35.18.19","Loceret","35.18.04","Tanjunganom","35.18.11","Wilangan","35.18.15")</f>
        <v>35.18.08</v>
      </c>
      <c r="E750" s="13" t="s">
        <v>75</v>
      </c>
      <c r="F750" s="25" t="s">
        <v>1464</v>
      </c>
      <c r="G750" s="25" t="s">
        <v>1465</v>
      </c>
      <c r="H750" s="13" t="s">
        <v>9</v>
      </c>
      <c r="I750" s="14" t="s">
        <v>823</v>
      </c>
      <c r="J750" s="49">
        <f>22*12*26</f>
        <v>6864</v>
      </c>
      <c r="K750" s="13" t="s">
        <v>700</v>
      </c>
      <c r="L750" s="22">
        <v>68640000</v>
      </c>
      <c r="M750" s="46"/>
      <c r="N750" s="17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</row>
    <row r="751" spans="1:67" s="3" customFormat="1" x14ac:dyDescent="0.2">
      <c r="A751" s="14" t="s">
        <v>2986</v>
      </c>
      <c r="B751" s="14" t="s">
        <v>18</v>
      </c>
      <c r="C751" s="14">
        <v>2025</v>
      </c>
      <c r="D751" s="14" t="str">
        <f t="array" ref="D751">_xlfn.SWITCH(E751,"Bagor","35.18.14","Sukomoro",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1" s="13" t="s">
        <v>50</v>
      </c>
      <c r="F751" s="25" t="s">
        <v>1194</v>
      </c>
      <c r="G751" s="25" t="s">
        <v>1466</v>
      </c>
      <c r="H751" s="13" t="s">
        <v>9</v>
      </c>
      <c r="I751" s="14" t="s">
        <v>823</v>
      </c>
      <c r="J751" s="49">
        <f>7*12*26</f>
        <v>2184</v>
      </c>
      <c r="K751" s="13" t="s">
        <v>700</v>
      </c>
      <c r="L751" s="22">
        <v>21840000</v>
      </c>
      <c r="M751" s="46"/>
      <c r="N751" s="17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</row>
    <row r="752" spans="1:67" s="3" customFormat="1" x14ac:dyDescent="0.2">
      <c r="A752" s="14" t="s">
        <v>2986</v>
      </c>
      <c r="B752" s="14" t="s">
        <v>18</v>
      </c>
      <c r="C752" s="14">
        <v>2025</v>
      </c>
      <c r="D752" s="14" t="str">
        <f t="array" ref="D752">_xlfn.SWITCH(E752,"Jatikalen","35.18.20","Kertosono", "35.18.08","Lengkong","35.18.19","Loceret","35.18.04","Tanjunganom","35.18.11","Wilangan","35.18.15")</f>
        <v>35.18.08</v>
      </c>
      <c r="E752" s="13" t="s">
        <v>75</v>
      </c>
      <c r="F752" s="25" t="s">
        <v>1464</v>
      </c>
      <c r="G752" s="25" t="s">
        <v>1331</v>
      </c>
      <c r="H752" s="13" t="s">
        <v>9</v>
      </c>
      <c r="I752" s="14" t="s">
        <v>823</v>
      </c>
      <c r="J752" s="49">
        <f>30</f>
        <v>30</v>
      </c>
      <c r="K752" s="13" t="s">
        <v>700</v>
      </c>
      <c r="L752" s="22">
        <v>300000</v>
      </c>
      <c r="M752" s="46"/>
      <c r="N752" s="17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</row>
    <row r="753" spans="1:67" s="3" customFormat="1" x14ac:dyDescent="0.2">
      <c r="A753" s="14" t="s">
        <v>2986</v>
      </c>
      <c r="B753" s="14" t="s">
        <v>18</v>
      </c>
      <c r="C753" s="14">
        <v>2025</v>
      </c>
      <c r="D753" s="14" t="str">
        <f t="array" ref="D753">_xlfn.SWITCH(E753,"Bagor","35.18.14","Sukomoro",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3" s="13" t="s">
        <v>50</v>
      </c>
      <c r="F753" s="25" t="s">
        <v>1194</v>
      </c>
      <c r="G753" s="25" t="s">
        <v>1467</v>
      </c>
      <c r="H753" s="13" t="s">
        <v>9</v>
      </c>
      <c r="I753" s="14" t="s">
        <v>823</v>
      </c>
      <c r="J753" s="49">
        <v>25</v>
      </c>
      <c r="K753" s="13" t="s">
        <v>700</v>
      </c>
      <c r="L753" s="22">
        <v>250000</v>
      </c>
      <c r="M753" s="46"/>
      <c r="N753" s="17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</row>
    <row r="754" spans="1:67" s="3" customFormat="1" x14ac:dyDescent="0.2">
      <c r="A754" s="14" t="s">
        <v>2986</v>
      </c>
      <c r="B754" s="14" t="s">
        <v>18</v>
      </c>
      <c r="C754" s="14">
        <v>2025</v>
      </c>
      <c r="D754" s="14" t="str">
        <f t="array" ref="D754">_xlfn.SWITCH(E754,"Jatikalen","35.18.20","Kertosono", "35.18.08","Lengkong","35.18.19","Loceret","35.18.04","Tanjunganom","35.18.11","Wilangan","35.18.15")</f>
        <v>35.18.08</v>
      </c>
      <c r="E754" s="13" t="s">
        <v>75</v>
      </c>
      <c r="F754" s="25" t="s">
        <v>1464</v>
      </c>
      <c r="G754" s="25" t="s">
        <v>1468</v>
      </c>
      <c r="H754" s="13" t="s">
        <v>9</v>
      </c>
      <c r="I754" s="14" t="s">
        <v>823</v>
      </c>
      <c r="J754" s="49">
        <v>100</v>
      </c>
      <c r="K754" s="13" t="s">
        <v>700</v>
      </c>
      <c r="L754" s="22">
        <v>1000000</v>
      </c>
      <c r="M754" s="46"/>
      <c r="N754" s="17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</row>
    <row r="755" spans="1:67" s="3" customFormat="1" x14ac:dyDescent="0.2">
      <c r="A755" s="14" t="s">
        <v>2986</v>
      </c>
      <c r="B755" s="14" t="s">
        <v>18</v>
      </c>
      <c r="C755" s="14">
        <v>2025</v>
      </c>
      <c r="D755" s="14" t="str">
        <f t="array" ref="D755">_xlfn.SWITCH(E755,"Bagor","35.18.14","Sukomoro",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5" s="13" t="s">
        <v>50</v>
      </c>
      <c r="F755" s="25" t="s">
        <v>1194</v>
      </c>
      <c r="G755" s="25" t="s">
        <v>1469</v>
      </c>
      <c r="H755" s="13" t="s">
        <v>9</v>
      </c>
      <c r="I755" s="14" t="s">
        <v>823</v>
      </c>
      <c r="J755" s="49">
        <v>90</v>
      </c>
      <c r="K755" s="13" t="s">
        <v>700</v>
      </c>
      <c r="L755" s="22">
        <v>900000</v>
      </c>
      <c r="M755" s="46"/>
      <c r="N755" s="17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</row>
    <row r="756" spans="1:67" s="3" customFormat="1" x14ac:dyDescent="0.2">
      <c r="A756" s="14" t="s">
        <v>2986</v>
      </c>
      <c r="B756" s="14" t="s">
        <v>18</v>
      </c>
      <c r="C756" s="14">
        <v>2025</v>
      </c>
      <c r="D756" s="14" t="str">
        <f t="array" ref="D756">_xlfn.SWITCH(E756,"Bagor","35.18.14","Sukomoro",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56" s="13" t="s">
        <v>102</v>
      </c>
      <c r="F756" s="25" t="s">
        <v>1065</v>
      </c>
      <c r="G756" s="25" t="s">
        <v>1274</v>
      </c>
      <c r="H756" s="13" t="s">
        <v>9</v>
      </c>
      <c r="I756" s="14" t="s">
        <v>897</v>
      </c>
      <c r="J756" s="49">
        <f>20*12*26</f>
        <v>6240</v>
      </c>
      <c r="K756" s="13" t="s">
        <v>953</v>
      </c>
      <c r="L756" s="22">
        <v>156000000</v>
      </c>
      <c r="M756" s="46"/>
      <c r="N756" s="17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</row>
    <row r="757" spans="1:67" s="3" customFormat="1" x14ac:dyDescent="0.2">
      <c r="A757" s="14" t="s">
        <v>2986</v>
      </c>
      <c r="B757" s="14" t="s">
        <v>18</v>
      </c>
      <c r="C757" s="14">
        <v>2025</v>
      </c>
      <c r="D757" s="14" t="str">
        <f t="array" ref="D757">_xlfn.SWITCH(E757,"Bagor","35.18.14","Sukomoro",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7" s="13" t="s">
        <v>50</v>
      </c>
      <c r="F757" s="25" t="s">
        <v>868</v>
      </c>
      <c r="G757" s="25" t="s">
        <v>1470</v>
      </c>
      <c r="H757" s="13" t="s">
        <v>9</v>
      </c>
      <c r="I757" s="14" t="s">
        <v>121</v>
      </c>
      <c r="J757" s="49">
        <f>2*12*26</f>
        <v>624</v>
      </c>
      <c r="K757" s="13" t="s">
        <v>902</v>
      </c>
      <c r="L757" s="22">
        <v>199680000</v>
      </c>
      <c r="M757" s="46"/>
      <c r="N757" s="17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</row>
    <row r="758" spans="1:67" s="3" customFormat="1" x14ac:dyDescent="0.2">
      <c r="A758" s="14" t="s">
        <v>2986</v>
      </c>
      <c r="B758" s="14" t="s">
        <v>18</v>
      </c>
      <c r="C758" s="14">
        <v>2025</v>
      </c>
      <c r="D758" s="14" t="str">
        <f t="array" ref="D758">_xlfn.SWITCH(E758,"Bagor","35.18.14","Sukomoro",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58" s="13" t="s">
        <v>35</v>
      </c>
      <c r="F758" s="25" t="s">
        <v>1471</v>
      </c>
      <c r="G758" s="25" t="s">
        <v>1472</v>
      </c>
      <c r="H758" s="13" t="s">
        <v>9</v>
      </c>
      <c r="I758" s="14" t="s">
        <v>229</v>
      </c>
      <c r="J758" s="49">
        <v>468000</v>
      </c>
      <c r="K758" s="13" t="s">
        <v>700</v>
      </c>
      <c r="L758" s="22">
        <v>397800000</v>
      </c>
      <c r="M758" s="46"/>
      <c r="N758" s="17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</row>
    <row r="759" spans="1:67" s="3" customFormat="1" x14ac:dyDescent="0.2">
      <c r="A759" s="14" t="s">
        <v>2986</v>
      </c>
      <c r="B759" s="14" t="s">
        <v>18</v>
      </c>
      <c r="C759" s="14">
        <v>2025</v>
      </c>
      <c r="D759" s="14" t="str">
        <f t="array" ref="D759">_xlfn.SWITCH(E759,"Jatikalen","35.18.20","Kertosono", "35.18.08","Lengkong","35.18.19","Loceret","35.18.04","Tanjunganom","35.18.11","Wilangan","35.18.15")</f>
        <v>35.18.08</v>
      </c>
      <c r="E759" s="13" t="s">
        <v>75</v>
      </c>
      <c r="F759" s="25" t="s">
        <v>1464</v>
      </c>
      <c r="G759" s="25" t="s">
        <v>593</v>
      </c>
      <c r="H759" s="13" t="s">
        <v>9</v>
      </c>
      <c r="I759" s="14" t="s">
        <v>823</v>
      </c>
      <c r="J759" s="49">
        <v>45</v>
      </c>
      <c r="K759" s="13" t="s">
        <v>700</v>
      </c>
      <c r="L759" s="22">
        <v>450000</v>
      </c>
      <c r="M759" s="46"/>
      <c r="N759" s="17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</row>
    <row r="760" spans="1:67" s="3" customFormat="1" x14ac:dyDescent="0.2">
      <c r="A760" s="14" t="s">
        <v>2986</v>
      </c>
      <c r="B760" s="14" t="s">
        <v>18</v>
      </c>
      <c r="C760" s="14">
        <v>2025</v>
      </c>
      <c r="D760" s="14" t="str">
        <f t="array" ref="D760">_xlfn.SWITCH(E760,"Jatikalen","35.18.20","Kertosono", "35.18.08","Lengkong","35.18.19","Loceret","35.18.04","Tanjunganom","35.18.11","Wilangan","35.18.15")</f>
        <v>35.18.08</v>
      </c>
      <c r="E760" s="13" t="s">
        <v>75</v>
      </c>
      <c r="F760" s="25" t="s">
        <v>1464</v>
      </c>
      <c r="G760" s="25" t="s">
        <v>1473</v>
      </c>
      <c r="H760" s="13" t="s">
        <v>9</v>
      </c>
      <c r="I760" s="14" t="s">
        <v>823</v>
      </c>
      <c r="J760" s="49">
        <v>50</v>
      </c>
      <c r="K760" s="13" t="s">
        <v>700</v>
      </c>
      <c r="L760" s="22">
        <v>500000</v>
      </c>
      <c r="M760" s="46"/>
      <c r="N760" s="17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</row>
    <row r="761" spans="1:67" s="3" customFormat="1" x14ac:dyDescent="0.2">
      <c r="A761" s="14" t="s">
        <v>2986</v>
      </c>
      <c r="B761" s="14" t="s">
        <v>18</v>
      </c>
      <c r="C761" s="14">
        <v>2025</v>
      </c>
      <c r="D761" s="14" t="str">
        <f t="array" ref="D761">_xlfn.SWITCH(E761,"Bagor","35.18.14","Sukomoro",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1" s="13" t="s">
        <v>57</v>
      </c>
      <c r="F761" s="25" t="s">
        <v>1474</v>
      </c>
      <c r="G761" s="25" t="s">
        <v>1475</v>
      </c>
      <c r="H761" s="13" t="s">
        <v>9</v>
      </c>
      <c r="I761" s="14" t="s">
        <v>109</v>
      </c>
      <c r="J761" s="49">
        <f>200*12*26</f>
        <v>62400</v>
      </c>
      <c r="K761" s="13" t="s">
        <v>953</v>
      </c>
      <c r="L761" s="22">
        <v>12480000</v>
      </c>
      <c r="M761" s="46"/>
      <c r="N761" s="17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</row>
    <row r="762" spans="1:67" s="3" customFormat="1" x14ac:dyDescent="0.2">
      <c r="A762" s="14" t="s">
        <v>2986</v>
      </c>
      <c r="B762" s="14" t="s">
        <v>18</v>
      </c>
      <c r="C762" s="14">
        <v>2025</v>
      </c>
      <c r="D762" s="14" t="str">
        <f t="array" ref="D762">_xlfn.SWITCH(E762,"Bagor","35.18.14","Sukomoro",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2" s="13" t="s">
        <v>57</v>
      </c>
      <c r="F762" s="25" t="s">
        <v>1474</v>
      </c>
      <c r="G762" s="25" t="s">
        <v>1476</v>
      </c>
      <c r="H762" s="13" t="s">
        <v>9</v>
      </c>
      <c r="I762" s="14" t="s">
        <v>109</v>
      </c>
      <c r="J762" s="49">
        <f>200*12*26</f>
        <v>62400</v>
      </c>
      <c r="K762" s="13" t="s">
        <v>953</v>
      </c>
      <c r="L762" s="22">
        <v>12480000</v>
      </c>
      <c r="M762" s="46"/>
      <c r="N762" s="17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</row>
    <row r="763" spans="1:67" s="3" customFormat="1" x14ac:dyDescent="0.2">
      <c r="A763" s="14" t="s">
        <v>2986</v>
      </c>
      <c r="B763" s="14" t="s">
        <v>18</v>
      </c>
      <c r="C763" s="14">
        <v>2025</v>
      </c>
      <c r="D763" s="14" t="str">
        <f t="array" ref="D763">_xlfn.SWITCH(E763,"Bagor","35.18.14","Sukomoro",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3" s="13" t="s">
        <v>57</v>
      </c>
      <c r="F763" s="25" t="s">
        <v>1474</v>
      </c>
      <c r="G763" s="25" t="s">
        <v>1477</v>
      </c>
      <c r="H763" s="13" t="s">
        <v>9</v>
      </c>
      <c r="I763" s="14" t="s">
        <v>109</v>
      </c>
      <c r="J763" s="49">
        <f>190*12*26</f>
        <v>59280</v>
      </c>
      <c r="K763" s="13" t="s">
        <v>953</v>
      </c>
      <c r="L763" s="22">
        <v>23712000</v>
      </c>
      <c r="M763" s="46"/>
      <c r="N763" s="17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</row>
    <row r="764" spans="1:67" s="3" customFormat="1" x14ac:dyDescent="0.2">
      <c r="A764" s="14" t="s">
        <v>2986</v>
      </c>
      <c r="B764" s="14" t="s">
        <v>18</v>
      </c>
      <c r="C764" s="14">
        <v>2025</v>
      </c>
      <c r="D764" s="14" t="str">
        <f t="array" ref="D764">_xlfn.SWITCH(E764,"Bagor","35.18.14","Sukomoro",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4" s="13" t="s">
        <v>57</v>
      </c>
      <c r="F764" s="25" t="s">
        <v>1474</v>
      </c>
      <c r="G764" s="25" t="s">
        <v>1478</v>
      </c>
      <c r="H764" s="13" t="s">
        <v>9</v>
      </c>
      <c r="I764" s="14" t="s">
        <v>109</v>
      </c>
      <c r="J764" s="49">
        <f>400*12*26</f>
        <v>124800</v>
      </c>
      <c r="K764" s="13" t="s">
        <v>953</v>
      </c>
      <c r="L764" s="22">
        <v>49920000</v>
      </c>
      <c r="M764" s="46"/>
      <c r="N764" s="17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</row>
    <row r="765" spans="1:67" s="3" customFormat="1" x14ac:dyDescent="0.2">
      <c r="A765" s="14" t="s">
        <v>2986</v>
      </c>
      <c r="B765" s="14" t="s">
        <v>18</v>
      </c>
      <c r="C765" s="14">
        <v>2025</v>
      </c>
      <c r="D765" s="14" t="str">
        <f t="array" ref="D765">_xlfn.SWITCH(E765,"Bagor","35.18.14","Sukomoro",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5" s="13" t="s">
        <v>57</v>
      </c>
      <c r="F765" s="25" t="s">
        <v>1474</v>
      </c>
      <c r="G765" s="25" t="s">
        <v>1479</v>
      </c>
      <c r="H765" s="13" t="s">
        <v>9</v>
      </c>
      <c r="I765" s="14" t="s">
        <v>109</v>
      </c>
      <c r="J765" s="49">
        <f>350*12*26</f>
        <v>109200</v>
      </c>
      <c r="K765" s="13" t="s">
        <v>953</v>
      </c>
      <c r="L765" s="22">
        <v>43680000</v>
      </c>
      <c r="M765" s="46"/>
      <c r="N765" s="17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</row>
    <row r="766" spans="1:67" s="3" customFormat="1" x14ac:dyDescent="0.2">
      <c r="A766" s="14" t="s">
        <v>2986</v>
      </c>
      <c r="B766" s="14" t="s">
        <v>18</v>
      </c>
      <c r="C766" s="14">
        <v>2025</v>
      </c>
      <c r="D766" s="14" t="str">
        <f t="array" ref="D766">_xlfn.SWITCH(E766,"Bagor","35.18.14","Sukomoro",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6" s="13" t="s">
        <v>57</v>
      </c>
      <c r="F766" s="25" t="s">
        <v>1474</v>
      </c>
      <c r="G766" s="25" t="s">
        <v>1480</v>
      </c>
      <c r="H766" s="13" t="s">
        <v>9</v>
      </c>
      <c r="I766" s="14" t="s">
        <v>109</v>
      </c>
      <c r="J766" s="49">
        <f>900*12*26</f>
        <v>280800</v>
      </c>
      <c r="K766" s="13" t="s">
        <v>953</v>
      </c>
      <c r="L766" s="22">
        <v>56160000</v>
      </c>
      <c r="M766" s="46"/>
      <c r="N766" s="17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</row>
    <row r="767" spans="1:67" s="3" customFormat="1" x14ac:dyDescent="0.2">
      <c r="A767" s="14" t="s">
        <v>2986</v>
      </c>
      <c r="B767" s="14" t="s">
        <v>18</v>
      </c>
      <c r="C767" s="14">
        <v>2025</v>
      </c>
      <c r="D767" s="14" t="str">
        <f t="array" ref="D767">_xlfn.SWITCH(E767,"Bagor","35.18.14","Sukomoro",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7" s="13" t="s">
        <v>57</v>
      </c>
      <c r="F767" s="25" t="s">
        <v>1474</v>
      </c>
      <c r="G767" s="25" t="s">
        <v>1481</v>
      </c>
      <c r="H767" s="13" t="s">
        <v>9</v>
      </c>
      <c r="I767" s="14" t="s">
        <v>109</v>
      </c>
      <c r="J767" s="49">
        <f>400*12*26</f>
        <v>124800</v>
      </c>
      <c r="K767" s="13" t="s">
        <v>953</v>
      </c>
      <c r="L767" s="22">
        <v>49920000</v>
      </c>
      <c r="M767" s="46"/>
      <c r="N767" s="17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</row>
    <row r="768" spans="1:67" s="3" customFormat="1" x14ac:dyDescent="0.2">
      <c r="A768" s="14" t="s">
        <v>2986</v>
      </c>
      <c r="B768" s="14" t="s">
        <v>18</v>
      </c>
      <c r="C768" s="14">
        <v>2025</v>
      </c>
      <c r="D768" s="14" t="str">
        <f t="array" ref="D768">_xlfn.SWITCH(E768,"Bagor","35.18.14","Sukomoro",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68" s="13" t="s">
        <v>50</v>
      </c>
      <c r="F768" s="25" t="s">
        <v>868</v>
      </c>
      <c r="G768" s="25" t="s">
        <v>1482</v>
      </c>
      <c r="H768" s="13" t="s">
        <v>9</v>
      </c>
      <c r="I768" s="14" t="s">
        <v>166</v>
      </c>
      <c r="J768" s="49">
        <f>800*12</f>
        <v>9600</v>
      </c>
      <c r="K768" s="13" t="s">
        <v>627</v>
      </c>
      <c r="L768" s="22">
        <v>288000000</v>
      </c>
      <c r="M768" s="46"/>
      <c r="N768" s="17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</row>
    <row r="769" spans="1:67" s="3" customFormat="1" x14ac:dyDescent="0.2">
      <c r="A769" s="14" t="s">
        <v>2986</v>
      </c>
      <c r="B769" s="14" t="s">
        <v>18</v>
      </c>
      <c r="C769" s="14">
        <v>2025</v>
      </c>
      <c r="D769" s="14" t="str">
        <f t="array" ref="D769">_xlfn.SWITCH(E769,"Bagor","35.18.14","Sukomoro",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9" s="13" t="s">
        <v>57</v>
      </c>
      <c r="F769" s="25" t="s">
        <v>1483</v>
      </c>
      <c r="G769" s="25" t="s">
        <v>1484</v>
      </c>
      <c r="H769" s="13" t="s">
        <v>9</v>
      </c>
      <c r="I769" s="14" t="s">
        <v>1485</v>
      </c>
      <c r="J769" s="49">
        <v>12000</v>
      </c>
      <c r="K769" s="13" t="s">
        <v>953</v>
      </c>
      <c r="L769" s="22">
        <v>1200000</v>
      </c>
      <c r="M769" s="46"/>
      <c r="N769" s="17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</row>
    <row r="770" spans="1:67" s="3" customFormat="1" x14ac:dyDescent="0.2">
      <c r="A770" s="14" t="s">
        <v>2986</v>
      </c>
      <c r="B770" s="14" t="s">
        <v>18</v>
      </c>
      <c r="C770" s="14">
        <v>2025</v>
      </c>
      <c r="D770" s="14" t="str">
        <f t="array" ref="D770">_xlfn.SWITCH(E770,"Bagor","35.18.14","Sukomoro",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70" s="13" t="s">
        <v>57</v>
      </c>
      <c r="F770" s="25" t="s">
        <v>1483</v>
      </c>
      <c r="G770" s="25" t="s">
        <v>1486</v>
      </c>
      <c r="H770" s="13" t="s">
        <v>9</v>
      </c>
      <c r="I770" s="14" t="s">
        <v>1485</v>
      </c>
      <c r="J770" s="49">
        <v>2000</v>
      </c>
      <c r="K770" s="13" t="s">
        <v>953</v>
      </c>
      <c r="L770" s="22">
        <v>2400000</v>
      </c>
      <c r="M770" s="46"/>
      <c r="N770" s="17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</row>
    <row r="771" spans="1:67" s="3" customFormat="1" x14ac:dyDescent="0.2">
      <c r="A771" s="14" t="s">
        <v>2986</v>
      </c>
      <c r="B771" s="14" t="s">
        <v>18</v>
      </c>
      <c r="C771" s="14">
        <v>2025</v>
      </c>
      <c r="D771" s="14" t="str">
        <f t="array" ref="D771">_xlfn.SWITCH(E771,"Jatikalen","35.18.20","Kertosono", "35.18.08","Lengkong","35.18.19","Loceret","35.18.04","Tanjunganom","35.18.11","Wilangan","35.18.15")</f>
        <v>35.18.08</v>
      </c>
      <c r="E771" s="13" t="s">
        <v>75</v>
      </c>
      <c r="F771" s="25" t="s">
        <v>1464</v>
      </c>
      <c r="G771" s="25" t="s">
        <v>1487</v>
      </c>
      <c r="H771" s="13" t="s">
        <v>9</v>
      </c>
      <c r="I771" s="14" t="s">
        <v>823</v>
      </c>
      <c r="J771" s="49">
        <v>70</v>
      </c>
      <c r="K771" s="13" t="s">
        <v>700</v>
      </c>
      <c r="L771" s="22">
        <v>700000</v>
      </c>
      <c r="M771" s="46"/>
      <c r="N771" s="17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</row>
    <row r="772" spans="1:67" s="3" customFormat="1" x14ac:dyDescent="0.2">
      <c r="A772" s="14" t="s">
        <v>2986</v>
      </c>
      <c r="B772" s="14" t="s">
        <v>18</v>
      </c>
      <c r="C772" s="14">
        <v>2025</v>
      </c>
      <c r="D772" s="14" t="str">
        <f t="array" ref="D772">_xlfn.SWITCH(E772,"Bagor","35.18.14","Sukomoro",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72" s="13" t="s">
        <v>84</v>
      </c>
      <c r="F772" s="25" t="s">
        <v>1488</v>
      </c>
      <c r="G772" s="25" t="s">
        <v>1489</v>
      </c>
      <c r="H772" s="13" t="s">
        <v>43</v>
      </c>
      <c r="I772" s="14" t="s">
        <v>840</v>
      </c>
      <c r="J772" s="49">
        <f>10*12*26</f>
        <v>3120</v>
      </c>
      <c r="K772" s="13" t="s">
        <v>45</v>
      </c>
      <c r="L772" s="22">
        <v>249600000</v>
      </c>
      <c r="M772" s="46"/>
      <c r="N772" s="17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</row>
    <row r="773" spans="1:67" s="3" customFormat="1" x14ac:dyDescent="0.2">
      <c r="A773" s="14" t="s">
        <v>2986</v>
      </c>
      <c r="B773" s="14" t="s">
        <v>18</v>
      </c>
      <c r="C773" s="14">
        <v>2025</v>
      </c>
      <c r="D773" s="14" t="str">
        <f t="array" ref="D773">_xlfn.SWITCH(E773,"Bagor","35.18.14","Sukomoro",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3" s="13" t="s">
        <v>102</v>
      </c>
      <c r="F773" s="25" t="s">
        <v>1289</v>
      </c>
      <c r="G773" s="25" t="s">
        <v>1490</v>
      </c>
      <c r="H773" s="13" t="s">
        <v>9</v>
      </c>
      <c r="I773" s="14" t="s">
        <v>1491</v>
      </c>
      <c r="J773" s="49">
        <f>150*12*26</f>
        <v>46800</v>
      </c>
      <c r="K773" s="13" t="s">
        <v>700</v>
      </c>
      <c r="L773" s="22">
        <v>23400000</v>
      </c>
      <c r="M773" s="46"/>
      <c r="N773" s="17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</row>
    <row r="774" spans="1:67" s="3" customFormat="1" x14ac:dyDescent="0.2">
      <c r="A774" s="14" t="s">
        <v>2986</v>
      </c>
      <c r="B774" s="14" t="s">
        <v>18</v>
      </c>
      <c r="C774" s="14">
        <v>2025</v>
      </c>
      <c r="D774" s="14" t="str">
        <f t="array" ref="D774">_xlfn.SWITCH(E774,"Jatikalen","35.18.20","Kertosono", "35.18.08","Lengkong","35.18.19","Loceret","35.18.04","Tanjunganom","35.18.11","Wilangan","35.18.15")</f>
        <v>35.18.08</v>
      </c>
      <c r="E774" s="13" t="s">
        <v>75</v>
      </c>
      <c r="F774" s="25" t="s">
        <v>1464</v>
      </c>
      <c r="G774" s="25" t="s">
        <v>1492</v>
      </c>
      <c r="H774" s="13" t="s">
        <v>9</v>
      </c>
      <c r="I774" s="14" t="s">
        <v>823</v>
      </c>
      <c r="J774" s="49">
        <f>20*12*26</f>
        <v>6240</v>
      </c>
      <c r="K774" s="13" t="s">
        <v>700</v>
      </c>
      <c r="L774" s="22">
        <v>62400000</v>
      </c>
      <c r="M774" s="46"/>
      <c r="N774" s="17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</row>
    <row r="775" spans="1:67" s="3" customFormat="1" x14ac:dyDescent="0.2">
      <c r="A775" s="14" t="s">
        <v>2986</v>
      </c>
      <c r="B775" s="14" t="s">
        <v>18</v>
      </c>
      <c r="C775" s="14">
        <v>2025</v>
      </c>
      <c r="D775" s="14" t="str">
        <f t="array" ref="D775">_xlfn.SWITCH(E775,"Bagor","35.18.14","Sukomoro",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5" s="13" t="s">
        <v>102</v>
      </c>
      <c r="F775" s="25" t="s">
        <v>1289</v>
      </c>
      <c r="G775" s="25" t="s">
        <v>1493</v>
      </c>
      <c r="H775" s="13" t="s">
        <v>9</v>
      </c>
      <c r="I775" s="14" t="s">
        <v>1491</v>
      </c>
      <c r="J775" s="49">
        <f>8*12*26</f>
        <v>2496</v>
      </c>
      <c r="K775" s="13" t="s">
        <v>902</v>
      </c>
      <c r="L775" s="22">
        <v>24960000</v>
      </c>
      <c r="M775" s="46"/>
      <c r="N775" s="17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</row>
    <row r="776" spans="1:67" s="3" customFormat="1" x14ac:dyDescent="0.2">
      <c r="A776" s="14" t="s">
        <v>2986</v>
      </c>
      <c r="B776" s="14" t="s">
        <v>18</v>
      </c>
      <c r="C776" s="14">
        <v>2025</v>
      </c>
      <c r="D776" s="14" t="str">
        <f t="array" ref="D776">_xlfn.SWITCH(E776,"Jatikalen","35.18.20","Kertosono", "35.18.08","Lengkong","35.18.19","Loceret","35.18.04","Tanjunganom","35.18.11","Wilangan","35.18.15")</f>
        <v>35.18.08</v>
      </c>
      <c r="E776" s="13" t="s">
        <v>75</v>
      </c>
      <c r="F776" s="25" t="s">
        <v>1464</v>
      </c>
      <c r="G776" s="25" t="s">
        <v>1494</v>
      </c>
      <c r="H776" s="13" t="s">
        <v>9</v>
      </c>
      <c r="I776" s="14" t="s">
        <v>823</v>
      </c>
      <c r="J776" s="49">
        <f>1*12*26</f>
        <v>312</v>
      </c>
      <c r="K776" s="13" t="s">
        <v>902</v>
      </c>
      <c r="L776" s="22">
        <v>31200000</v>
      </c>
      <c r="M776" s="46"/>
      <c r="N776" s="17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</row>
    <row r="777" spans="1:67" s="3" customFormat="1" x14ac:dyDescent="0.2">
      <c r="A777" s="14" t="s">
        <v>2986</v>
      </c>
      <c r="B777" s="14" t="s">
        <v>18</v>
      </c>
      <c r="C777" s="14">
        <v>2025</v>
      </c>
      <c r="D777" s="14" t="str">
        <f t="array" ref="D777">_xlfn.SWITCH(E777,"Jatikalen","35.18.20","Kertosono", "35.18.08","Lengkong","35.18.19","Loceret","35.18.04","Tanjunganom","35.18.11","Wilangan","35.18.15")</f>
        <v>35.18.08</v>
      </c>
      <c r="E777" s="13" t="s">
        <v>75</v>
      </c>
      <c r="F777" s="25" t="s">
        <v>1464</v>
      </c>
      <c r="G777" s="25" t="s">
        <v>1495</v>
      </c>
      <c r="H777" s="13" t="s">
        <v>9</v>
      </c>
      <c r="I777" s="14" t="s">
        <v>823</v>
      </c>
      <c r="J777" s="49">
        <v>35</v>
      </c>
      <c r="K777" s="13" t="s">
        <v>700</v>
      </c>
      <c r="L777" s="22">
        <v>10500000</v>
      </c>
      <c r="M777" s="46"/>
      <c r="N777" s="17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</row>
    <row r="778" spans="1:67" s="3" customFormat="1" x14ac:dyDescent="0.2">
      <c r="A778" s="14" t="s">
        <v>2986</v>
      </c>
      <c r="B778" s="14" t="s">
        <v>18</v>
      </c>
      <c r="C778" s="14">
        <v>2025</v>
      </c>
      <c r="D778" s="14" t="str">
        <f t="array" ref="D778">_xlfn.SWITCH(E778,"Jatikalen","35.18.20","Kertosono", "35.18.08","Lengkong","35.18.19","Loceret","35.18.04","Tanjunganom","35.18.11","Wilangan","35.18.15")</f>
        <v>35.18.04</v>
      </c>
      <c r="E778" s="13" t="s">
        <v>15</v>
      </c>
      <c r="F778" s="25" t="s">
        <v>1449</v>
      </c>
      <c r="G778" s="25" t="s">
        <v>1496</v>
      </c>
      <c r="H778" s="13" t="s">
        <v>9</v>
      </c>
      <c r="I778" s="14" t="s">
        <v>166</v>
      </c>
      <c r="J778" s="49">
        <f>20*12</f>
        <v>240</v>
      </c>
      <c r="K778" s="13" t="s">
        <v>1312</v>
      </c>
      <c r="L778" s="22">
        <v>21600000</v>
      </c>
      <c r="M778" s="46"/>
      <c r="N778" s="17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</row>
    <row r="779" spans="1:67" s="3" customFormat="1" x14ac:dyDescent="0.2">
      <c r="A779" s="14" t="s">
        <v>2986</v>
      </c>
      <c r="B779" s="14" t="s">
        <v>18</v>
      </c>
      <c r="C779" s="14">
        <v>2025</v>
      </c>
      <c r="D779" s="14" t="str">
        <f t="array" ref="D779">_xlfn.SWITCH(E779,"Jatikalen","35.18.20","Kertosono", "35.18.08","Lengkong","35.18.19","Loceret","35.18.04","Tanjunganom","35.18.11","Wilangan","35.18.15")</f>
        <v>35.18.04</v>
      </c>
      <c r="E779" s="13" t="s">
        <v>15</v>
      </c>
      <c r="F779" s="25" t="s">
        <v>1449</v>
      </c>
      <c r="G779" s="25" t="s">
        <v>1497</v>
      </c>
      <c r="H779" s="13" t="s">
        <v>9</v>
      </c>
      <c r="I779" s="14" t="s">
        <v>166</v>
      </c>
      <c r="J779" s="49">
        <f>150*4*12</f>
        <v>7200</v>
      </c>
      <c r="K779" s="13" t="s">
        <v>1312</v>
      </c>
      <c r="L779" s="22">
        <v>43200000</v>
      </c>
      <c r="M779" s="46"/>
      <c r="N779" s="17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</row>
    <row r="780" spans="1:67" s="3" customFormat="1" x14ac:dyDescent="0.2">
      <c r="A780" s="14" t="s">
        <v>2986</v>
      </c>
      <c r="B780" s="14" t="s">
        <v>18</v>
      </c>
      <c r="C780" s="14">
        <v>2025</v>
      </c>
      <c r="D780" s="14" t="str">
        <f t="array" ref="D780">_xlfn.SWITCH(E780,"Jatikalen","35.18.20","Kertosono", "35.18.08","Lengkong","35.18.19","Loceret","35.18.04","Tanjunganom","35.18.11","Wilangan","35.18.15")</f>
        <v>35.18.04</v>
      </c>
      <c r="E780" s="13" t="s">
        <v>15</v>
      </c>
      <c r="F780" s="25" t="s">
        <v>1449</v>
      </c>
      <c r="G780" s="25" t="s">
        <v>1498</v>
      </c>
      <c r="H780" s="13" t="s">
        <v>9</v>
      </c>
      <c r="I780" s="14" t="s">
        <v>166</v>
      </c>
      <c r="J780" s="49">
        <f>50*4*12</f>
        <v>2400</v>
      </c>
      <c r="K780" s="13" t="s">
        <v>1312</v>
      </c>
      <c r="L780" s="22">
        <v>74400000</v>
      </c>
      <c r="M780" s="46"/>
      <c r="N780" s="17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</row>
    <row r="781" spans="1:67" s="3" customFormat="1" x14ac:dyDescent="0.2">
      <c r="A781" s="14" t="s">
        <v>2986</v>
      </c>
      <c r="B781" s="14" t="s">
        <v>18</v>
      </c>
      <c r="C781" s="14">
        <v>2025</v>
      </c>
      <c r="D781" s="14" t="str">
        <f t="array" ref="D781">_xlfn.SWITCH(E781,"Bagor","35.18.14","Sukomoro",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1" s="13" t="s">
        <v>102</v>
      </c>
      <c r="F781" s="25" t="s">
        <v>1289</v>
      </c>
      <c r="G781" s="25" t="s">
        <v>1499</v>
      </c>
      <c r="H781" s="13" t="s">
        <v>9</v>
      </c>
      <c r="I781" s="14" t="s">
        <v>1491</v>
      </c>
      <c r="J781" s="49">
        <f>75*12*26</f>
        <v>23400</v>
      </c>
      <c r="K781" s="13" t="s">
        <v>700</v>
      </c>
      <c r="L781" s="22">
        <v>11700000</v>
      </c>
      <c r="M781" s="46"/>
      <c r="N781" s="17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</row>
    <row r="782" spans="1:67" s="3" customFormat="1" x14ac:dyDescent="0.2">
      <c r="A782" s="14" t="s">
        <v>2986</v>
      </c>
      <c r="B782" s="14" t="s">
        <v>18</v>
      </c>
      <c r="C782" s="14">
        <v>2025</v>
      </c>
      <c r="D782" s="14" t="str">
        <f t="array" ref="D782">_xlfn.SWITCH(E782,"Jatikalen","35.18.20","Kertosono", "35.18.08","Lengkong","35.18.19","Loceret","35.18.04","Tanjunganom","35.18.11","Wilangan","35.18.15")</f>
        <v>35.18.08</v>
      </c>
      <c r="E782" s="13" t="s">
        <v>75</v>
      </c>
      <c r="F782" s="25" t="s">
        <v>1464</v>
      </c>
      <c r="G782" s="25" t="s">
        <v>1500</v>
      </c>
      <c r="H782" s="13" t="s">
        <v>9</v>
      </c>
      <c r="I782" s="14" t="s">
        <v>823</v>
      </c>
      <c r="J782" s="49">
        <v>16</v>
      </c>
      <c r="K782" s="13" t="s">
        <v>700</v>
      </c>
      <c r="L782" s="22">
        <v>2160000</v>
      </c>
      <c r="M782" s="46"/>
      <c r="N782" s="17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</row>
    <row r="783" spans="1:67" s="3" customFormat="1" x14ac:dyDescent="0.2">
      <c r="A783" s="14" t="s">
        <v>2986</v>
      </c>
      <c r="B783" s="14" t="s">
        <v>18</v>
      </c>
      <c r="C783" s="14">
        <v>2025</v>
      </c>
      <c r="D783" s="14" t="str">
        <f t="array" ref="D783">_xlfn.SWITCH(E783,"Bagor","35.18.14","Sukomoro",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3" s="13" t="s">
        <v>102</v>
      </c>
      <c r="F783" s="25" t="s">
        <v>1289</v>
      </c>
      <c r="G783" s="25" t="s">
        <v>1501</v>
      </c>
      <c r="H783" s="13" t="s">
        <v>9</v>
      </c>
      <c r="I783" s="14" t="s">
        <v>1491</v>
      </c>
      <c r="J783" s="49">
        <f>75*12*26</f>
        <v>23400</v>
      </c>
      <c r="K783" s="13" t="s">
        <v>700</v>
      </c>
      <c r="L783" s="22">
        <v>10530000</v>
      </c>
      <c r="M783" s="46"/>
      <c r="N783" s="17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</row>
    <row r="784" spans="1:67" s="3" customFormat="1" x14ac:dyDescent="0.2">
      <c r="A784" s="14" t="s">
        <v>2986</v>
      </c>
      <c r="B784" s="14" t="s">
        <v>18</v>
      </c>
      <c r="C784" s="14">
        <v>2025</v>
      </c>
      <c r="D784" s="14" t="str">
        <f t="array" ref="D784">_xlfn.SWITCH(E784,"Bagor","35.18.14","Sukomoro",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4" s="13" t="s">
        <v>84</v>
      </c>
      <c r="F784" s="25" t="s">
        <v>1289</v>
      </c>
      <c r="G784" s="25" t="s">
        <v>1445</v>
      </c>
      <c r="H784" s="13" t="s">
        <v>9</v>
      </c>
      <c r="I784" s="14" t="s">
        <v>1491</v>
      </c>
      <c r="J784" s="49">
        <f>125*12*26</f>
        <v>39000</v>
      </c>
      <c r="K784" s="13" t="s">
        <v>700</v>
      </c>
      <c r="L784" s="22">
        <v>19500000</v>
      </c>
      <c r="M784" s="46"/>
      <c r="N784" s="17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</row>
    <row r="785" spans="1:67" s="3" customFormat="1" x14ac:dyDescent="0.2">
      <c r="A785" s="14" t="s">
        <v>2986</v>
      </c>
      <c r="B785" s="14" t="s">
        <v>18</v>
      </c>
      <c r="C785" s="14">
        <v>2025</v>
      </c>
      <c r="D785" s="14" t="str">
        <f t="array" ref="D785">_xlfn.SWITCH(E785,"Bagor","35.18.14","Sukomoro",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5" s="13" t="s">
        <v>84</v>
      </c>
      <c r="F785" s="25" t="s">
        <v>1289</v>
      </c>
      <c r="G785" s="25" t="s">
        <v>1502</v>
      </c>
      <c r="H785" s="13" t="s">
        <v>9</v>
      </c>
      <c r="I785" s="14" t="s">
        <v>1491</v>
      </c>
      <c r="J785" s="49">
        <f>25*12*26</f>
        <v>7800</v>
      </c>
      <c r="K785" s="13" t="s">
        <v>700</v>
      </c>
      <c r="L785" s="22">
        <v>4680000</v>
      </c>
      <c r="M785" s="46"/>
      <c r="N785" s="17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</row>
    <row r="786" spans="1:67" s="3" customFormat="1" x14ac:dyDescent="0.2">
      <c r="A786" s="14" t="s">
        <v>2986</v>
      </c>
      <c r="B786" s="14" t="s">
        <v>18</v>
      </c>
      <c r="C786" s="14">
        <v>2025</v>
      </c>
      <c r="D786" s="14" t="str">
        <f t="array" ref="D786">_xlfn.SWITCH(E786,"Jatikalen","35.18.20","Kertosono", "35.18.08","Lengkong","35.18.19","Loceret","35.18.04","Tanjunganom","35.18.11","Wilangan","35.18.15")</f>
        <v>35.18.04</v>
      </c>
      <c r="E786" s="13" t="s">
        <v>15</v>
      </c>
      <c r="F786" s="25" t="s">
        <v>1449</v>
      </c>
      <c r="G786" s="25" t="s">
        <v>1503</v>
      </c>
      <c r="H786" s="13" t="s">
        <v>9</v>
      </c>
      <c r="I786" s="14" t="s">
        <v>166</v>
      </c>
      <c r="J786" s="49">
        <f>15*12*26</f>
        <v>4680</v>
      </c>
      <c r="K786" s="13" t="s">
        <v>1312</v>
      </c>
      <c r="L786" s="22">
        <v>117000000</v>
      </c>
      <c r="M786" s="46"/>
      <c r="N786" s="17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</row>
    <row r="787" spans="1:67" s="3" customFormat="1" x14ac:dyDescent="0.2">
      <c r="A787" s="14" t="s">
        <v>2986</v>
      </c>
      <c r="B787" s="14" t="s">
        <v>18</v>
      </c>
      <c r="C787" s="14">
        <v>2025</v>
      </c>
      <c r="D787" s="14" t="str">
        <f t="array" ref="D787">_xlfn.SWITCH(E787,"Jatikalen","35.18.20","Kertosono", "35.18.08","Lengkong","35.18.19","Loceret","35.18.04","Tanjunganom","35.18.11","Wilangan","35.18.15")</f>
        <v>35.18.04</v>
      </c>
      <c r="E787" s="13" t="s">
        <v>15</v>
      </c>
      <c r="F787" s="25" t="s">
        <v>1449</v>
      </c>
      <c r="G787" s="25" t="s">
        <v>1504</v>
      </c>
      <c r="H787" s="13" t="s">
        <v>9</v>
      </c>
      <c r="I787" s="14" t="s">
        <v>166</v>
      </c>
      <c r="J787" s="49">
        <f>40*12*7</f>
        <v>3360</v>
      </c>
      <c r="K787" s="13" t="s">
        <v>1312</v>
      </c>
      <c r="L787" s="22">
        <v>110880000</v>
      </c>
      <c r="M787" s="46"/>
      <c r="N787" s="17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</row>
    <row r="788" spans="1:67" s="3" customFormat="1" x14ac:dyDescent="0.2">
      <c r="A788" s="14" t="s">
        <v>2986</v>
      </c>
      <c r="B788" s="14" t="s">
        <v>18</v>
      </c>
      <c r="C788" s="14">
        <v>2025</v>
      </c>
      <c r="D788" s="14" t="str">
        <f t="array" ref="D788">_xlfn.SWITCH(E788,"Jatikalen","35.18.20","Kertosono", "35.18.08","Lengkong","35.18.19","Loceret","35.18.04","Tanjunganom","35.18.11","Wilangan","35.18.15")</f>
        <v>35.18.04</v>
      </c>
      <c r="E788" s="13" t="s">
        <v>15</v>
      </c>
      <c r="F788" s="25" t="s">
        <v>1449</v>
      </c>
      <c r="G788" s="25" t="s">
        <v>1505</v>
      </c>
      <c r="H788" s="13" t="s">
        <v>9</v>
      </c>
      <c r="I788" s="14" t="s">
        <v>166</v>
      </c>
      <c r="J788" s="49">
        <f>70*12*10</f>
        <v>8400</v>
      </c>
      <c r="K788" s="13" t="s">
        <v>1312</v>
      </c>
      <c r="L788" s="22">
        <v>106680000</v>
      </c>
      <c r="M788" s="46"/>
      <c r="N788" s="17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</row>
    <row r="789" spans="1:67" s="3" customFormat="1" x14ac:dyDescent="0.2">
      <c r="A789" s="14" t="s">
        <v>2986</v>
      </c>
      <c r="B789" s="14" t="s">
        <v>18</v>
      </c>
      <c r="C789" s="14">
        <v>2025</v>
      </c>
      <c r="D789" s="14" t="str">
        <f t="array" ref="D789">_xlfn.SWITCH(E789,"Jatikalen","35.18.20","Kertosono", "35.18.08","Lengkong","35.18.19","Loceret","35.18.04","Tanjunganom","35.18.11","Wilangan","35.18.15")</f>
        <v>35.18.04</v>
      </c>
      <c r="E789" s="13" t="s">
        <v>15</v>
      </c>
      <c r="F789" s="25" t="s">
        <v>1449</v>
      </c>
      <c r="G789" s="25" t="s">
        <v>1506</v>
      </c>
      <c r="H789" s="13" t="s">
        <v>9</v>
      </c>
      <c r="I789" s="14" t="s">
        <v>166</v>
      </c>
      <c r="J789" s="49">
        <f>500*12</f>
        <v>6000</v>
      </c>
      <c r="K789" s="13" t="s">
        <v>1312</v>
      </c>
      <c r="L789" s="22">
        <v>138000000</v>
      </c>
      <c r="M789" s="46"/>
      <c r="N789" s="17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</row>
    <row r="790" spans="1:67" s="3" customFormat="1" x14ac:dyDescent="0.2">
      <c r="A790" s="14" t="s">
        <v>2986</v>
      </c>
      <c r="B790" s="14" t="s">
        <v>18</v>
      </c>
      <c r="C790" s="14">
        <v>2025</v>
      </c>
      <c r="D790" s="14" t="str">
        <f t="array" ref="D790">_xlfn.SWITCH(E790,"Jatikalen","35.18.20","Kertosono", "35.18.08","Lengkong","35.18.19","Loceret","35.18.04","Tanjunganom","35.18.11","Wilangan","35.18.15")</f>
        <v>35.18.04</v>
      </c>
      <c r="E790" s="13" t="s">
        <v>15</v>
      </c>
      <c r="F790" s="25" t="s">
        <v>1449</v>
      </c>
      <c r="G790" s="25" t="s">
        <v>1507</v>
      </c>
      <c r="H790" s="13" t="s">
        <v>9</v>
      </c>
      <c r="I790" s="14" t="s">
        <v>166</v>
      </c>
      <c r="J790" s="49">
        <f>200*12</f>
        <v>2400</v>
      </c>
      <c r="K790" s="13" t="s">
        <v>1312</v>
      </c>
      <c r="L790" s="22">
        <v>74400000</v>
      </c>
      <c r="M790" s="46"/>
      <c r="N790" s="17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</row>
    <row r="791" spans="1:67" s="3" customFormat="1" x14ac:dyDescent="0.2">
      <c r="A791" s="14" t="s">
        <v>2986</v>
      </c>
      <c r="B791" s="14" t="s">
        <v>18</v>
      </c>
      <c r="C791" s="14">
        <v>2025</v>
      </c>
      <c r="D791" s="14" t="str">
        <f t="array" ref="D791">_xlfn.SWITCH(E791,"Jatikalen","35.18.20","Kertosono", "35.18.08","Lengkong","35.18.19","Loceret","35.18.04","Tanjunganom","35.18.11","Wilangan","35.18.15")</f>
        <v>35.18.04</v>
      </c>
      <c r="E791" s="13" t="s">
        <v>15</v>
      </c>
      <c r="F791" s="25" t="s">
        <v>1449</v>
      </c>
      <c r="G791" s="25" t="s">
        <v>1508</v>
      </c>
      <c r="H791" s="13" t="s">
        <v>9</v>
      </c>
      <c r="I791" s="14" t="s">
        <v>166</v>
      </c>
      <c r="J791" s="49">
        <f>100*12*13</f>
        <v>15600</v>
      </c>
      <c r="K791" s="13" t="s">
        <v>1312</v>
      </c>
      <c r="L791" s="22">
        <v>156000000</v>
      </c>
      <c r="M791" s="46"/>
      <c r="N791" s="17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</row>
    <row r="792" spans="1:67" s="3" customFormat="1" x14ac:dyDescent="0.2">
      <c r="A792" s="14" t="s">
        <v>2986</v>
      </c>
      <c r="B792" s="14" t="s">
        <v>18</v>
      </c>
      <c r="C792" s="14">
        <v>2025</v>
      </c>
      <c r="D792" s="14" t="str">
        <f t="array" ref="D792">_xlfn.SWITCH(E792,"Jatikalen","35.18.20","Kertosono", "35.18.08","Lengkong","35.18.19","Loceret","35.18.04","Tanjunganom","35.18.11","Wilangan","35.18.15")</f>
        <v>35.18.11</v>
      </c>
      <c r="E792" s="13" t="s">
        <v>27</v>
      </c>
      <c r="F792" s="25" t="s">
        <v>1310</v>
      </c>
      <c r="G792" s="25" t="s">
        <v>1509</v>
      </c>
      <c r="H792" s="13" t="s">
        <v>9</v>
      </c>
      <c r="I792" s="14" t="s">
        <v>1510</v>
      </c>
      <c r="J792" s="49">
        <f>35*12*4</f>
        <v>1680</v>
      </c>
      <c r="K792" s="13" t="s">
        <v>22</v>
      </c>
      <c r="L792" s="22">
        <v>31920000</v>
      </c>
      <c r="M792" s="46"/>
      <c r="N792" s="17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</row>
    <row r="793" spans="1:67" s="3" customFormat="1" x14ac:dyDescent="0.2">
      <c r="A793" s="14" t="s">
        <v>2986</v>
      </c>
      <c r="B793" s="14" t="s">
        <v>18</v>
      </c>
      <c r="C793" s="14">
        <v>2025</v>
      </c>
      <c r="D793" s="14" t="str">
        <f t="array" ref="D793">_xlfn.SWITCH(E793,"Jatikalen","35.18.20","Kertosono", "35.18.08","Lengkong","35.18.19","Loceret","35.18.04","Tanjunganom","35.18.11","Wilangan","35.18.15")</f>
        <v>35.18.11</v>
      </c>
      <c r="E793" s="13" t="s">
        <v>27</v>
      </c>
      <c r="F793" s="25" t="s">
        <v>1310</v>
      </c>
      <c r="G793" s="25" t="s">
        <v>1511</v>
      </c>
      <c r="H793" s="13" t="s">
        <v>9</v>
      </c>
      <c r="I793" s="14" t="s">
        <v>1510</v>
      </c>
      <c r="J793" s="49">
        <f>18*12*4</f>
        <v>864</v>
      </c>
      <c r="K793" s="13" t="s">
        <v>22</v>
      </c>
      <c r="L793" s="22">
        <v>25920000</v>
      </c>
      <c r="M793" s="46"/>
      <c r="N793" s="17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</row>
    <row r="794" spans="1:67" s="3" customFormat="1" x14ac:dyDescent="0.2">
      <c r="A794" s="14" t="s">
        <v>2986</v>
      </c>
      <c r="B794" s="14" t="s">
        <v>18</v>
      </c>
      <c r="C794" s="14">
        <v>2025</v>
      </c>
      <c r="D794" s="14" t="str">
        <f t="array" ref="D794">_xlfn.SWITCH(E794,"Jatikalen","35.18.20","Kertosono", "35.18.08","Lengkong","35.18.19","Loceret","35.18.04","Tanjunganom","35.18.11","Wilangan","35.18.15")</f>
        <v>35.18.11</v>
      </c>
      <c r="E794" s="13" t="s">
        <v>27</v>
      </c>
      <c r="F794" s="25" t="s">
        <v>1310</v>
      </c>
      <c r="G794" s="25" t="s">
        <v>1512</v>
      </c>
      <c r="H794" s="13" t="s">
        <v>9</v>
      </c>
      <c r="I794" s="14" t="s">
        <v>1510</v>
      </c>
      <c r="J794" s="49">
        <f>25*12*4</f>
        <v>1200</v>
      </c>
      <c r="K794" s="13" t="s">
        <v>22</v>
      </c>
      <c r="L794" s="22">
        <v>24000000</v>
      </c>
      <c r="M794" s="46"/>
      <c r="N794" s="17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</row>
    <row r="795" spans="1:67" s="3" customFormat="1" x14ac:dyDescent="0.2">
      <c r="A795" s="14" t="s">
        <v>2986</v>
      </c>
      <c r="B795" s="14" t="s">
        <v>18</v>
      </c>
      <c r="C795" s="14">
        <v>2025</v>
      </c>
      <c r="D795" s="14" t="str">
        <f t="array" ref="D795">_xlfn.SWITCH(E795,"Jatikalen","35.18.20","Kertosono", "35.18.08","Lengkong","35.18.19","Loceret","35.18.04","Tanjunganom","35.18.11","Wilangan","35.18.15")</f>
        <v>35.18.11</v>
      </c>
      <c r="E795" s="13" t="s">
        <v>27</v>
      </c>
      <c r="F795" s="25" t="s">
        <v>1310</v>
      </c>
      <c r="G795" s="25" t="s">
        <v>1276</v>
      </c>
      <c r="H795" s="13" t="s">
        <v>9</v>
      </c>
      <c r="I795" s="14" t="s">
        <v>1510</v>
      </c>
      <c r="J795" s="49">
        <f>60*12*4</f>
        <v>2880</v>
      </c>
      <c r="K795" s="13" t="s">
        <v>22</v>
      </c>
      <c r="L795" s="22">
        <v>28800000</v>
      </c>
      <c r="M795" s="46"/>
      <c r="N795" s="17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</row>
    <row r="796" spans="1:67" s="3" customFormat="1" x14ac:dyDescent="0.2">
      <c r="A796" s="14" t="s">
        <v>2986</v>
      </c>
      <c r="B796" s="14" t="s">
        <v>18</v>
      </c>
      <c r="C796" s="14">
        <v>2025</v>
      </c>
      <c r="D796" s="14" t="str">
        <f t="array" ref="D796">_xlfn.SWITCH(E796,"Jatikalen","35.18.20","Kertosono", "35.18.08","Lengkong","35.18.19","Loceret","35.18.04","Tanjunganom","35.18.11","Wilangan","35.18.15")</f>
        <v>35.18.11</v>
      </c>
      <c r="E796" s="13" t="s">
        <v>27</v>
      </c>
      <c r="F796" s="25" t="s">
        <v>1310</v>
      </c>
      <c r="G796" s="25" t="s">
        <v>1513</v>
      </c>
      <c r="H796" s="13" t="s">
        <v>9</v>
      </c>
      <c r="I796" s="14" t="s">
        <v>1510</v>
      </c>
      <c r="J796" s="49">
        <f>36*12*4</f>
        <v>1728</v>
      </c>
      <c r="K796" s="13" t="s">
        <v>22</v>
      </c>
      <c r="L796" s="22">
        <v>43200000</v>
      </c>
      <c r="M796" s="46"/>
      <c r="N796" s="17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</row>
    <row r="797" spans="1:67" s="3" customFormat="1" x14ac:dyDescent="0.2">
      <c r="A797" s="14" t="s">
        <v>2986</v>
      </c>
      <c r="B797" s="14" t="s">
        <v>18</v>
      </c>
      <c r="C797" s="14">
        <v>2025</v>
      </c>
      <c r="D797" s="14" t="str">
        <f t="array" ref="D797">_xlfn.SWITCH(E797,"Jatikalen","35.18.20","Kertosono", "35.18.08","Lengkong","35.18.19","Loceret","35.18.04","Tanjunganom","35.18.11","Wilangan","35.18.15")</f>
        <v>35.18.11</v>
      </c>
      <c r="E797" s="13" t="s">
        <v>27</v>
      </c>
      <c r="F797" s="25" t="s">
        <v>1310</v>
      </c>
      <c r="G797" s="25" t="s">
        <v>1514</v>
      </c>
      <c r="H797" s="13" t="s">
        <v>9</v>
      </c>
      <c r="I797" s="14" t="s">
        <v>1510</v>
      </c>
      <c r="J797" s="49">
        <f>24*12*4</f>
        <v>1152</v>
      </c>
      <c r="K797" s="13" t="s">
        <v>22</v>
      </c>
      <c r="L797" s="22">
        <v>20160000</v>
      </c>
      <c r="M797" s="46"/>
      <c r="N797" s="17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</row>
    <row r="798" spans="1:67" s="3" customFormat="1" x14ac:dyDescent="0.2">
      <c r="A798" s="14" t="s">
        <v>2986</v>
      </c>
      <c r="B798" s="14" t="s">
        <v>18</v>
      </c>
      <c r="C798" s="14">
        <v>2025</v>
      </c>
      <c r="D798" s="14" t="str">
        <f t="array" ref="D798">_xlfn.SWITCH(E798,"Jatikalen","35.18.20","Kertosono", "35.18.08","Lengkong","35.18.19","Loceret","35.18.04","Tanjunganom","35.18.11","Wilangan","35.18.15")</f>
        <v>35.18.11</v>
      </c>
      <c r="E798" s="13" t="s">
        <v>27</v>
      </c>
      <c r="F798" s="25" t="s">
        <v>1310</v>
      </c>
      <c r="G798" s="25" t="s">
        <v>1276</v>
      </c>
      <c r="H798" s="13" t="s">
        <v>9</v>
      </c>
      <c r="I798" s="14" t="s">
        <v>1510</v>
      </c>
      <c r="J798" s="49">
        <f>30*12*4</f>
        <v>1440</v>
      </c>
      <c r="K798" s="13" t="s">
        <v>22</v>
      </c>
      <c r="L798" s="22">
        <v>28800000</v>
      </c>
      <c r="M798" s="46"/>
      <c r="N798" s="17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</row>
    <row r="799" spans="1:67" s="3" customFormat="1" x14ac:dyDescent="0.2">
      <c r="A799" s="14" t="s">
        <v>2986</v>
      </c>
      <c r="B799" s="14" t="s">
        <v>18</v>
      </c>
      <c r="C799" s="14">
        <v>2025</v>
      </c>
      <c r="D799" s="14" t="str">
        <f t="array" ref="D799">_xlfn.SWITCH(E799,"Jatikalen","35.18.20","Kertosono", "35.18.08","Lengkong","35.18.19","Loceret","35.18.04","Tanjunganom","35.18.11","Wilangan","35.18.15")</f>
        <v>35.18.11</v>
      </c>
      <c r="E799" s="13" t="s">
        <v>27</v>
      </c>
      <c r="F799" s="25" t="s">
        <v>1310</v>
      </c>
      <c r="G799" s="25" t="s">
        <v>1515</v>
      </c>
      <c r="H799" s="13" t="s">
        <v>9</v>
      </c>
      <c r="I799" s="14" t="s">
        <v>1510</v>
      </c>
      <c r="J799" s="49">
        <f>35*12*4</f>
        <v>1680</v>
      </c>
      <c r="K799" s="13" t="s">
        <v>22</v>
      </c>
      <c r="L799" s="22">
        <v>18480000</v>
      </c>
      <c r="M799" s="46"/>
      <c r="N799" s="17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</row>
    <row r="800" spans="1:67" s="3" customFormat="1" x14ac:dyDescent="0.2">
      <c r="A800" s="14" t="s">
        <v>2986</v>
      </c>
      <c r="B800" s="14" t="s">
        <v>18</v>
      </c>
      <c r="C800" s="14">
        <v>2025</v>
      </c>
      <c r="D800" s="14" t="str">
        <f t="array" ref="D800">_xlfn.SWITCH(E800,"Jatikalen","35.18.20","Kertosono", "35.18.08","Lengkong","35.18.19","Loceret","35.18.04","Tanjunganom","35.18.11","Wilangan","35.18.15")</f>
        <v>35.18.11</v>
      </c>
      <c r="E800" s="13" t="s">
        <v>27</v>
      </c>
      <c r="F800" s="25" t="s">
        <v>1310</v>
      </c>
      <c r="G800" s="25" t="s">
        <v>1516</v>
      </c>
      <c r="H800" s="13" t="s">
        <v>9</v>
      </c>
      <c r="I800" s="14" t="s">
        <v>1510</v>
      </c>
      <c r="J800" s="49">
        <f>30*12*4</f>
        <v>1440</v>
      </c>
      <c r="K800" s="13" t="s">
        <v>22</v>
      </c>
      <c r="L800" s="22">
        <v>28800000</v>
      </c>
      <c r="M800" s="46"/>
      <c r="N800" s="17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</row>
    <row r="801" spans="1:67" s="3" customFormat="1" x14ac:dyDescent="0.2">
      <c r="A801" s="14" t="s">
        <v>2986</v>
      </c>
      <c r="B801" s="14" t="s">
        <v>18</v>
      </c>
      <c r="C801" s="14">
        <v>2025</v>
      </c>
      <c r="D801" s="14" t="str">
        <f t="array" ref="D801">_xlfn.SWITCH(E801,"Jatikalen","35.18.20","Kertosono", "35.18.08","Lengkong","35.18.19","Loceret","35.18.04","Tanjunganom","35.18.11","Wilangan","35.18.15")</f>
        <v>35.18.11</v>
      </c>
      <c r="E801" s="13" t="s">
        <v>27</v>
      </c>
      <c r="F801" s="25" t="s">
        <v>1310</v>
      </c>
      <c r="G801" s="25" t="s">
        <v>1517</v>
      </c>
      <c r="H801" s="13" t="s">
        <v>9</v>
      </c>
      <c r="I801" s="14" t="s">
        <v>1510</v>
      </c>
      <c r="J801" s="49">
        <f>30*12*4</f>
        <v>1440</v>
      </c>
      <c r="K801" s="13" t="s">
        <v>22</v>
      </c>
      <c r="L801" s="22">
        <v>21600000</v>
      </c>
      <c r="M801" s="46"/>
      <c r="N801" s="17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</row>
    <row r="802" spans="1:67" s="3" customFormat="1" x14ac:dyDescent="0.2">
      <c r="A802" s="14" t="s">
        <v>2986</v>
      </c>
      <c r="B802" s="14" t="s">
        <v>18</v>
      </c>
      <c r="C802" s="14">
        <v>2025</v>
      </c>
      <c r="D802" s="14" t="str">
        <f t="array" ref="D802">_xlfn.SWITCH(E802,"Jatikalen","35.18.20","Kertosono", "35.18.08","Lengkong","35.18.19","Loceret","35.18.04","Tanjunganom","35.18.11","Wilangan","35.18.15")</f>
        <v>35.18.11</v>
      </c>
      <c r="E802" s="13" t="s">
        <v>27</v>
      </c>
      <c r="F802" s="25" t="s">
        <v>1310</v>
      </c>
      <c r="G802" s="25" t="s">
        <v>1518</v>
      </c>
      <c r="H802" s="13" t="s">
        <v>9</v>
      </c>
      <c r="I802" s="14" t="s">
        <v>1510</v>
      </c>
      <c r="J802" s="49">
        <f>36*12*4</f>
        <v>1728</v>
      </c>
      <c r="K802" s="13" t="s">
        <v>22</v>
      </c>
      <c r="L802" s="22">
        <v>25920000</v>
      </c>
      <c r="M802" s="46"/>
      <c r="N802" s="17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</row>
    <row r="803" spans="1:67" s="3" customFormat="1" x14ac:dyDescent="0.2">
      <c r="A803" s="14" t="s">
        <v>2986</v>
      </c>
      <c r="B803" s="14" t="s">
        <v>18</v>
      </c>
      <c r="C803" s="14">
        <v>2025</v>
      </c>
      <c r="D803" s="14" t="str">
        <f t="array" ref="D803">_xlfn.SWITCH(E803,"Jatikalen","35.18.20","Kertosono", "35.18.08","Lengkong","35.18.19","Loceret","35.18.04","Tanjunganom","35.18.11","Wilangan","35.18.15")</f>
        <v>35.18.11</v>
      </c>
      <c r="E803" s="13" t="s">
        <v>27</v>
      </c>
      <c r="F803" s="25" t="s">
        <v>1310</v>
      </c>
      <c r="G803" s="25" t="s">
        <v>1332</v>
      </c>
      <c r="H803" s="13" t="s">
        <v>9</v>
      </c>
      <c r="I803" s="14" t="s">
        <v>1510</v>
      </c>
      <c r="J803" s="49">
        <f>30*12*4</f>
        <v>1440</v>
      </c>
      <c r="K803" s="13" t="s">
        <v>22</v>
      </c>
      <c r="L803" s="22">
        <v>15840000</v>
      </c>
      <c r="M803" s="46"/>
      <c r="N803" s="17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</row>
    <row r="804" spans="1:67" s="3" customFormat="1" x14ac:dyDescent="0.2">
      <c r="A804" s="14" t="s">
        <v>2986</v>
      </c>
      <c r="B804" s="14" t="s">
        <v>18</v>
      </c>
      <c r="C804" s="14">
        <v>2025</v>
      </c>
      <c r="D804" s="14" t="str">
        <f t="array" ref="D804">_xlfn.SWITCH(E804,"Jatikalen","35.18.20","Kertosono", "35.18.08","Lengkong","35.18.19","Loceret","35.18.04","Tanjunganom","35.18.11","Wilangan","35.18.15")</f>
        <v>35.18.11</v>
      </c>
      <c r="E804" s="13" t="s">
        <v>27</v>
      </c>
      <c r="F804" s="25" t="s">
        <v>1310</v>
      </c>
      <c r="G804" s="25" t="s">
        <v>1519</v>
      </c>
      <c r="H804" s="13" t="s">
        <v>9</v>
      </c>
      <c r="I804" s="14" t="s">
        <v>1510</v>
      </c>
      <c r="J804" s="49">
        <f>30*12*4</f>
        <v>1440</v>
      </c>
      <c r="K804" s="13" t="s">
        <v>22</v>
      </c>
      <c r="L804" s="22">
        <v>28800000</v>
      </c>
      <c r="M804" s="46"/>
      <c r="N804" s="17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</row>
    <row r="805" spans="1:67" s="3" customFormat="1" x14ac:dyDescent="0.2">
      <c r="A805" s="14" t="s">
        <v>2986</v>
      </c>
      <c r="B805" s="14" t="s">
        <v>18</v>
      </c>
      <c r="C805" s="14">
        <v>2025</v>
      </c>
      <c r="D805" s="14" t="str">
        <f t="array" ref="D805">_xlfn.SWITCH(E805,"Jatikalen","35.18.20","Kertosono", "35.18.08","Lengkong","35.18.19","Loceret","35.18.04","Tanjunganom","35.18.11","Wilangan","35.18.15")</f>
        <v>35.18.11</v>
      </c>
      <c r="E805" s="13" t="s">
        <v>27</v>
      </c>
      <c r="F805" s="25" t="s">
        <v>1310</v>
      </c>
      <c r="G805" s="25" t="s">
        <v>1520</v>
      </c>
      <c r="H805" s="13" t="s">
        <v>9</v>
      </c>
      <c r="I805" s="14" t="s">
        <v>1510</v>
      </c>
      <c r="J805" s="49">
        <f>36*12*4</f>
        <v>1728</v>
      </c>
      <c r="K805" s="13" t="s">
        <v>22</v>
      </c>
      <c r="L805" s="22">
        <v>29376000</v>
      </c>
      <c r="M805" s="46"/>
      <c r="N805" s="17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</row>
    <row r="806" spans="1:67" s="3" customFormat="1" x14ac:dyDescent="0.2">
      <c r="A806" s="14" t="s">
        <v>2986</v>
      </c>
      <c r="B806" s="14" t="s">
        <v>18</v>
      </c>
      <c r="C806" s="14">
        <v>2025</v>
      </c>
      <c r="D806" s="14" t="str">
        <f t="array" ref="D806">_xlfn.SWITCH(E806,"Jatikalen","35.18.20","Kertosono", "35.18.08","Lengkong","35.18.19","Loceret","35.18.04","Tanjunganom","35.18.11","Wilangan","35.18.15")</f>
        <v>35.18.11</v>
      </c>
      <c r="E806" s="13" t="s">
        <v>27</v>
      </c>
      <c r="F806" s="25" t="s">
        <v>1310</v>
      </c>
      <c r="G806" s="25" t="s">
        <v>1521</v>
      </c>
      <c r="H806" s="13" t="s">
        <v>9</v>
      </c>
      <c r="I806" s="14" t="s">
        <v>1510</v>
      </c>
      <c r="J806" s="49">
        <f>30*12*4</f>
        <v>1440</v>
      </c>
      <c r="K806" s="13" t="s">
        <v>22</v>
      </c>
      <c r="L806" s="22">
        <v>28800000</v>
      </c>
      <c r="M806" s="46"/>
      <c r="N806" s="17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</row>
    <row r="807" spans="1:67" s="3" customFormat="1" x14ac:dyDescent="0.2">
      <c r="A807" s="14" t="s">
        <v>2986</v>
      </c>
      <c r="B807" s="14" t="s">
        <v>18</v>
      </c>
      <c r="C807" s="14">
        <v>2025</v>
      </c>
      <c r="D807" s="14" t="str">
        <f t="array" ref="D807">_xlfn.SWITCH(E807,"Jatikalen","35.18.20","Kertosono", "35.18.08","Lengkong","35.18.19","Loceret","35.18.04","Tanjunganom","35.18.11","Wilangan","35.18.15")</f>
        <v>35.18.11</v>
      </c>
      <c r="E807" s="13" t="s">
        <v>27</v>
      </c>
      <c r="F807" s="25" t="s">
        <v>1310</v>
      </c>
      <c r="G807" s="25" t="s">
        <v>1522</v>
      </c>
      <c r="H807" s="13" t="s">
        <v>9</v>
      </c>
      <c r="I807" s="14" t="s">
        <v>1510</v>
      </c>
      <c r="J807" s="49">
        <f>23*12*4</f>
        <v>1104</v>
      </c>
      <c r="K807" s="13" t="s">
        <v>22</v>
      </c>
      <c r="L807" s="22">
        <v>16560000</v>
      </c>
      <c r="M807" s="46"/>
      <c r="N807" s="17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</row>
    <row r="808" spans="1:67" s="3" customFormat="1" x14ac:dyDescent="0.2">
      <c r="A808" s="14" t="s">
        <v>2986</v>
      </c>
      <c r="B808" s="14" t="s">
        <v>18</v>
      </c>
      <c r="C808" s="14">
        <v>2025</v>
      </c>
      <c r="D808" s="14" t="str">
        <f t="array" ref="D808">_xlfn.SWITCH(E808,"Jatikalen","35.18.20","Kertosono", "35.18.08","Lengkong","35.18.19","Loceret","35.18.04","Tanjunganom","35.18.11","Wilangan","35.18.15")</f>
        <v>35.18.08</v>
      </c>
      <c r="E808" s="13" t="s">
        <v>75</v>
      </c>
      <c r="F808" s="25" t="s">
        <v>1523</v>
      </c>
      <c r="G808" s="25" t="s">
        <v>1524</v>
      </c>
      <c r="H808" s="13" t="s">
        <v>9</v>
      </c>
      <c r="I808" s="14" t="s">
        <v>1525</v>
      </c>
      <c r="J808" s="49">
        <v>14500</v>
      </c>
      <c r="K808" s="13" t="s">
        <v>700</v>
      </c>
      <c r="L808" s="22">
        <v>87000000</v>
      </c>
      <c r="M808" s="46"/>
      <c r="N808" s="17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</row>
    <row r="809" spans="1:67" s="3" customFormat="1" x14ac:dyDescent="0.2">
      <c r="A809" s="14" t="s">
        <v>2986</v>
      </c>
      <c r="B809" s="14" t="s">
        <v>18</v>
      </c>
      <c r="C809" s="14">
        <v>2025</v>
      </c>
      <c r="D809" s="14" t="str">
        <f t="array" ref="D809">_xlfn.SWITCH(E809,"Jatikalen","35.18.20","Kertosono", "35.18.08","Lengkong","35.18.19","Loceret","35.18.04","Tanjunganom","35.18.11","Wilangan","35.18.15")</f>
        <v>35.18.08</v>
      </c>
      <c r="E809" s="13" t="s">
        <v>75</v>
      </c>
      <c r="F809" s="25" t="s">
        <v>838</v>
      </c>
      <c r="G809" s="25" t="s">
        <v>1526</v>
      </c>
      <c r="H809" s="13" t="s">
        <v>9</v>
      </c>
      <c r="I809" s="14" t="s">
        <v>1527</v>
      </c>
      <c r="J809" s="49">
        <v>40600</v>
      </c>
      <c r="K809" s="13" t="s">
        <v>700</v>
      </c>
      <c r="L809" s="22">
        <v>203000000</v>
      </c>
      <c r="M809" s="46"/>
      <c r="N809" s="17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</row>
    <row r="810" spans="1:67" s="3" customFormat="1" x14ac:dyDescent="0.2">
      <c r="A810" s="14" t="s">
        <v>2986</v>
      </c>
      <c r="B810" s="14" t="s">
        <v>18</v>
      </c>
      <c r="C810" s="14">
        <v>2025</v>
      </c>
      <c r="D810" s="14" t="str">
        <f t="array" ref="D810">_xlfn.SWITCH(E810,"Bagor","35.18.14","Sukomoro",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0" s="13" t="s">
        <v>57</v>
      </c>
      <c r="F810" s="25" t="s">
        <v>1528</v>
      </c>
      <c r="G810" s="25" t="s">
        <v>1349</v>
      </c>
      <c r="H810" s="13" t="s">
        <v>9</v>
      </c>
      <c r="I810" s="14" t="s">
        <v>1527</v>
      </c>
      <c r="J810" s="49">
        <v>8100</v>
      </c>
      <c r="K810" s="13" t="s">
        <v>700</v>
      </c>
      <c r="L810" s="22">
        <v>40500000</v>
      </c>
      <c r="M810" s="46"/>
      <c r="N810" s="17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</row>
    <row r="811" spans="1:67" s="3" customFormat="1" ht="20" x14ac:dyDescent="0.2">
      <c r="A811" s="14" t="s">
        <v>2986</v>
      </c>
      <c r="B811" s="14" t="s">
        <v>18</v>
      </c>
      <c r="C811" s="14">
        <v>2025</v>
      </c>
      <c r="D811" s="14" t="str">
        <f t="array" ref="D811">_xlfn.SWITCH(E811,"Bagor","35.18.14","Sukomoro",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11" s="13" t="s">
        <v>7</v>
      </c>
      <c r="F811" s="25" t="s">
        <v>1529</v>
      </c>
      <c r="G811" s="25" t="s">
        <v>1530</v>
      </c>
      <c r="H811" s="13" t="s">
        <v>9</v>
      </c>
      <c r="I811" s="14" t="s">
        <v>1531</v>
      </c>
      <c r="J811" s="49">
        <v>11700</v>
      </c>
      <c r="K811" s="13" t="s">
        <v>22</v>
      </c>
      <c r="L811" s="22">
        <v>58500000</v>
      </c>
      <c r="M811" s="46"/>
      <c r="N811" s="17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</row>
    <row r="812" spans="1:67" s="3" customFormat="1" x14ac:dyDescent="0.2">
      <c r="A812" s="14" t="s">
        <v>2986</v>
      </c>
      <c r="B812" s="14" t="s">
        <v>18</v>
      </c>
      <c r="C812" s="14">
        <v>2025</v>
      </c>
      <c r="D812" s="14" t="str">
        <f t="array" ref="D812">_xlfn.SWITCH(E812,"Jatikalen","35.18.20","Kertosono", "35.18.08","Lengkong","35.18.19","Loceret","35.18.04","Tanjunganom","35.18.11","Wilangan","35.18.15")</f>
        <v>35.18.04</v>
      </c>
      <c r="E812" s="13" t="s">
        <v>15</v>
      </c>
      <c r="F812" s="25" t="s">
        <v>1136</v>
      </c>
      <c r="G812" s="25" t="s">
        <v>1496</v>
      </c>
      <c r="H812" s="13" t="s">
        <v>9</v>
      </c>
      <c r="I812" s="14" t="s">
        <v>1525</v>
      </c>
      <c r="J812" s="49">
        <v>5300</v>
      </c>
      <c r="K812" s="13" t="s">
        <v>700</v>
      </c>
      <c r="L812" s="22">
        <v>31800000</v>
      </c>
      <c r="M812" s="46"/>
      <c r="N812" s="17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</row>
    <row r="813" spans="1:67" s="3" customFormat="1" x14ac:dyDescent="0.2">
      <c r="A813" s="14" t="s">
        <v>2986</v>
      </c>
      <c r="B813" s="14" t="s">
        <v>18</v>
      </c>
      <c r="C813" s="14">
        <v>2025</v>
      </c>
      <c r="D813" s="14" t="str">
        <f t="array" ref="D813">_xlfn.SWITCH(E813,"Jatikalen","35.18.20","Kertosono", "35.18.08","Lengkong","35.18.19","Loceret","35.18.04","Tanjunganom","35.18.11","Wilangan","35.18.15")</f>
        <v>35.18.04</v>
      </c>
      <c r="E813" s="13" t="s">
        <v>15</v>
      </c>
      <c r="F813" s="25" t="s">
        <v>1532</v>
      </c>
      <c r="G813" s="25" t="s">
        <v>1533</v>
      </c>
      <c r="H813" s="13" t="s">
        <v>9</v>
      </c>
      <c r="I813" s="14" t="s">
        <v>1534</v>
      </c>
      <c r="J813" s="49">
        <v>9200</v>
      </c>
      <c r="K813" s="13" t="s">
        <v>22</v>
      </c>
      <c r="L813" s="22">
        <v>46000000</v>
      </c>
      <c r="M813" s="46"/>
      <c r="N813" s="17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</row>
    <row r="814" spans="1:67" s="3" customFormat="1" x14ac:dyDescent="0.2">
      <c r="A814" s="14" t="s">
        <v>2986</v>
      </c>
      <c r="B814" s="14" t="s">
        <v>18</v>
      </c>
      <c r="C814" s="14">
        <v>2025</v>
      </c>
      <c r="D814" s="14" t="str">
        <f t="array" ref="D814">_xlfn.SWITCH(E814,"Bagor","35.18.14","Sukomoro",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4" s="13" t="s">
        <v>57</v>
      </c>
      <c r="F814" s="25" t="s">
        <v>1483</v>
      </c>
      <c r="G814" s="25" t="s">
        <v>1535</v>
      </c>
      <c r="H814" s="13" t="s">
        <v>9</v>
      </c>
      <c r="I814" s="14" t="s">
        <v>1485</v>
      </c>
      <c r="J814" s="49">
        <f>100*26*12</f>
        <v>31200</v>
      </c>
      <c r="K814" s="13" t="s">
        <v>22</v>
      </c>
      <c r="L814" s="22">
        <v>28080000</v>
      </c>
      <c r="M814" s="46"/>
      <c r="N814" s="17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</row>
    <row r="815" spans="1:67" s="3" customFormat="1" x14ac:dyDescent="0.2">
      <c r="A815" s="14" t="s">
        <v>2986</v>
      </c>
      <c r="B815" s="14" t="s">
        <v>18</v>
      </c>
      <c r="C815" s="14">
        <v>2025</v>
      </c>
      <c r="D815" s="14" t="str">
        <f t="array" ref="D815">_xlfn.SWITCH(E815,"Bagor","35.18.14","Sukomoro",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5" s="13" t="s">
        <v>57</v>
      </c>
      <c r="F815" s="25" t="s">
        <v>1483</v>
      </c>
      <c r="G815" s="25" t="s">
        <v>1536</v>
      </c>
      <c r="H815" s="13" t="s">
        <v>9</v>
      </c>
      <c r="I815" s="14" t="s">
        <v>1485</v>
      </c>
      <c r="J815" s="49">
        <f>50*26*12</f>
        <v>15600</v>
      </c>
      <c r="K815" s="13" t="s">
        <v>22</v>
      </c>
      <c r="L815" s="22">
        <v>9360000</v>
      </c>
      <c r="M815" s="46"/>
      <c r="N815" s="17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</row>
    <row r="816" spans="1:67" s="3" customFormat="1" x14ac:dyDescent="0.2">
      <c r="A816" s="14" t="s">
        <v>2986</v>
      </c>
      <c r="B816" s="14" t="s">
        <v>18</v>
      </c>
      <c r="C816" s="14">
        <v>2025</v>
      </c>
      <c r="D816" s="14" t="str">
        <f t="array" ref="D816">_xlfn.SWITCH(E816,"Bagor","35.18.14","Sukomoro",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6" s="13" t="s">
        <v>57</v>
      </c>
      <c r="F816" s="25" t="s">
        <v>1483</v>
      </c>
      <c r="G816" s="25" t="s">
        <v>1537</v>
      </c>
      <c r="H816" s="13" t="s">
        <v>9</v>
      </c>
      <c r="I816" s="14" t="s">
        <v>1485</v>
      </c>
      <c r="J816" s="49">
        <v>15600</v>
      </c>
      <c r="K816" s="13" t="s">
        <v>22</v>
      </c>
      <c r="L816" s="22">
        <v>9360000</v>
      </c>
      <c r="M816" s="46"/>
      <c r="N816" s="17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</row>
    <row r="817" spans="1:67" s="3" customFormat="1" x14ac:dyDescent="0.2">
      <c r="A817" s="14" t="s">
        <v>2986</v>
      </c>
      <c r="B817" s="14" t="s">
        <v>18</v>
      </c>
      <c r="C817" s="14">
        <v>2025</v>
      </c>
      <c r="D817" s="14" t="str">
        <f t="array" ref="D817">_xlfn.SWITCH(E817,"Bagor","35.18.14","Sukomoro",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7" s="13" t="s">
        <v>57</v>
      </c>
      <c r="F817" s="25" t="s">
        <v>1483</v>
      </c>
      <c r="G817" s="25" t="s">
        <v>1538</v>
      </c>
      <c r="H817" s="13" t="s">
        <v>9</v>
      </c>
      <c r="I817" s="14" t="s">
        <v>1485</v>
      </c>
      <c r="J817" s="49">
        <f>60*26*12</f>
        <v>18720</v>
      </c>
      <c r="K817" s="13" t="s">
        <v>22</v>
      </c>
      <c r="L817" s="22">
        <v>11220000</v>
      </c>
      <c r="M817" s="46"/>
      <c r="N817" s="17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</row>
    <row r="818" spans="1:67" s="3" customFormat="1" x14ac:dyDescent="0.2">
      <c r="A818" s="14" t="s">
        <v>2986</v>
      </c>
      <c r="B818" s="14" t="s">
        <v>18</v>
      </c>
      <c r="C818" s="14">
        <v>2025</v>
      </c>
      <c r="D818" s="14" t="str">
        <f t="array" ref="D818">_xlfn.SWITCH(E818,"Bagor","35.18.14","Sukomoro",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8" s="13" t="s">
        <v>57</v>
      </c>
      <c r="F818" s="25" t="s">
        <v>1483</v>
      </c>
      <c r="G818" s="25" t="s">
        <v>1539</v>
      </c>
      <c r="H818" s="13" t="s">
        <v>9</v>
      </c>
      <c r="I818" s="14" t="s">
        <v>1485</v>
      </c>
      <c r="J818" s="49">
        <f>30*26*12</f>
        <v>9360</v>
      </c>
      <c r="K818" s="13" t="s">
        <v>22</v>
      </c>
      <c r="L818" s="22">
        <v>5640000</v>
      </c>
      <c r="M818" s="46"/>
      <c r="N818" s="17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</row>
    <row r="819" spans="1:67" s="3" customFormat="1" x14ac:dyDescent="0.2">
      <c r="A819" s="14" t="s">
        <v>2986</v>
      </c>
      <c r="B819" s="14" t="s">
        <v>18</v>
      </c>
      <c r="C819" s="14">
        <v>2025</v>
      </c>
      <c r="D819" s="14" t="str">
        <f t="array" ref="D819">_xlfn.SWITCH(E819,"Bagor","35.18.14","Sukomoro",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9" s="13" t="s">
        <v>57</v>
      </c>
      <c r="F819" s="25" t="s">
        <v>1483</v>
      </c>
      <c r="G819" s="25" t="s">
        <v>1540</v>
      </c>
      <c r="H819" s="13" t="s">
        <v>9</v>
      </c>
      <c r="I819" s="14" t="s">
        <v>1485</v>
      </c>
      <c r="J819" s="49">
        <f>85*26*12</f>
        <v>26520</v>
      </c>
      <c r="K819" s="13" t="s">
        <v>22</v>
      </c>
      <c r="L819" s="22">
        <v>15900000</v>
      </c>
      <c r="M819" s="46"/>
      <c r="N819" s="17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</row>
    <row r="820" spans="1:67" s="3" customFormat="1" x14ac:dyDescent="0.2">
      <c r="A820" s="14" t="s">
        <v>2986</v>
      </c>
      <c r="B820" s="14" t="s">
        <v>18</v>
      </c>
      <c r="C820" s="14">
        <v>2025</v>
      </c>
      <c r="D820" s="14" t="str">
        <f t="array" ref="D820">_xlfn.SWITCH(E820,"Bagor","35.18.14","Sukomoro",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0" s="13" t="s">
        <v>57</v>
      </c>
      <c r="F820" s="25" t="s">
        <v>1483</v>
      </c>
      <c r="G820" s="25" t="s">
        <v>1541</v>
      </c>
      <c r="H820" s="13" t="s">
        <v>9</v>
      </c>
      <c r="I820" s="14" t="s">
        <v>1485</v>
      </c>
      <c r="J820" s="49">
        <f>500*26*12</f>
        <v>156000</v>
      </c>
      <c r="K820" s="13" t="s">
        <v>22</v>
      </c>
      <c r="L820" s="22">
        <v>23400000</v>
      </c>
      <c r="M820" s="46"/>
      <c r="N820" s="17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</row>
    <row r="821" spans="1:67" s="3" customFormat="1" x14ac:dyDescent="0.2">
      <c r="A821" s="14" t="s">
        <v>2986</v>
      </c>
      <c r="B821" s="14" t="s">
        <v>18</v>
      </c>
      <c r="C821" s="14">
        <v>2025</v>
      </c>
      <c r="D821" s="14" t="str">
        <f t="array" ref="D821">_xlfn.SWITCH(E821,"Bagor","35.18.14","Sukomoro",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1" s="13" t="s">
        <v>57</v>
      </c>
      <c r="F821" s="25" t="s">
        <v>1483</v>
      </c>
      <c r="G821" s="25" t="s">
        <v>1542</v>
      </c>
      <c r="H821" s="13" t="s">
        <v>9</v>
      </c>
      <c r="I821" s="14" t="s">
        <v>1485</v>
      </c>
      <c r="J821" s="49">
        <f>500*26*12</f>
        <v>156000</v>
      </c>
      <c r="K821" s="13" t="s">
        <v>22</v>
      </c>
      <c r="L821" s="22">
        <v>23400000</v>
      </c>
      <c r="M821" s="46"/>
      <c r="N821" s="17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</row>
    <row r="822" spans="1:67" s="3" customFormat="1" x14ac:dyDescent="0.2">
      <c r="A822" s="14" t="s">
        <v>2986</v>
      </c>
      <c r="B822" s="14" t="s">
        <v>18</v>
      </c>
      <c r="C822" s="14">
        <v>2025</v>
      </c>
      <c r="D822" s="14" t="str">
        <f t="array" ref="D822">_xlfn.SWITCH(E822,"Bagor","35.18.14","Sukomoro",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2" s="13" t="s">
        <v>57</v>
      </c>
      <c r="F822" s="25" t="s">
        <v>1483</v>
      </c>
      <c r="G822" s="25" t="s">
        <v>1543</v>
      </c>
      <c r="H822" s="13" t="s">
        <v>9</v>
      </c>
      <c r="I822" s="14" t="s">
        <v>1485</v>
      </c>
      <c r="J822" s="49">
        <f>100*26*12</f>
        <v>31200</v>
      </c>
      <c r="K822" s="13" t="s">
        <v>22</v>
      </c>
      <c r="L822" s="22">
        <v>24960000</v>
      </c>
      <c r="M822" s="46"/>
      <c r="N822" s="17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</row>
    <row r="823" spans="1:67" s="3" customFormat="1" x14ac:dyDescent="0.2">
      <c r="A823" s="14" t="s">
        <v>2986</v>
      </c>
      <c r="B823" s="14" t="s">
        <v>18</v>
      </c>
      <c r="C823" s="14">
        <v>2025</v>
      </c>
      <c r="D823" s="14" t="str">
        <f t="array" ref="D823">_xlfn.SWITCH(E823,"Bagor","35.18.14","Sukomoro",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3" s="13" t="s">
        <v>57</v>
      </c>
      <c r="F823" s="25" t="s">
        <v>1483</v>
      </c>
      <c r="G823" s="25" t="s">
        <v>1544</v>
      </c>
      <c r="H823" s="13" t="s">
        <v>9</v>
      </c>
      <c r="I823" s="14" t="s">
        <v>1485</v>
      </c>
      <c r="J823" s="49">
        <f>500*12</f>
        <v>6000</v>
      </c>
      <c r="K823" s="13" t="s">
        <v>22</v>
      </c>
      <c r="L823" s="22">
        <v>7200000</v>
      </c>
      <c r="M823" s="46"/>
      <c r="N823" s="17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</row>
    <row r="824" spans="1:67" s="3" customFormat="1" x14ac:dyDescent="0.2">
      <c r="A824" s="14" t="s">
        <v>2986</v>
      </c>
      <c r="B824" s="14" t="s">
        <v>18</v>
      </c>
      <c r="C824" s="14">
        <v>2025</v>
      </c>
      <c r="D824" s="14" t="str">
        <f t="array" ref="D824">_xlfn.SWITCH(E824,"Bagor","35.18.14","Sukomoro",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4" s="13" t="s">
        <v>57</v>
      </c>
      <c r="F824" s="25" t="s">
        <v>1483</v>
      </c>
      <c r="G824" s="25" t="s">
        <v>1545</v>
      </c>
      <c r="H824" s="13" t="s">
        <v>9</v>
      </c>
      <c r="I824" s="14" t="s">
        <v>1485</v>
      </c>
      <c r="J824" s="49">
        <f>50*26*12</f>
        <v>15600</v>
      </c>
      <c r="K824" s="13" t="s">
        <v>22</v>
      </c>
      <c r="L824" s="22">
        <v>3120000</v>
      </c>
      <c r="M824" s="46"/>
      <c r="N824" s="17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</row>
    <row r="825" spans="1:67" s="3" customFormat="1" x14ac:dyDescent="0.2">
      <c r="A825" s="14" t="s">
        <v>2986</v>
      </c>
      <c r="B825" s="14" t="s">
        <v>18</v>
      </c>
      <c r="C825" s="14">
        <v>2025</v>
      </c>
      <c r="D825" s="14" t="str">
        <f t="array" ref="D825">_xlfn.SWITCH(E825,"Bagor","35.18.14","Sukomoro",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5" s="13" t="s">
        <v>57</v>
      </c>
      <c r="F825" s="25" t="s">
        <v>1483</v>
      </c>
      <c r="G825" s="25" t="s">
        <v>1546</v>
      </c>
      <c r="H825" s="13" t="s">
        <v>9</v>
      </c>
      <c r="I825" s="14" t="s">
        <v>1485</v>
      </c>
      <c r="J825" s="49">
        <f>40*26*12</f>
        <v>12480</v>
      </c>
      <c r="K825" s="13" t="s">
        <v>22</v>
      </c>
      <c r="L825" s="22">
        <v>7500000</v>
      </c>
      <c r="M825" s="46"/>
      <c r="N825" s="17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</row>
    <row r="826" spans="1:67" s="3" customFormat="1" x14ac:dyDescent="0.2">
      <c r="A826" s="14" t="s">
        <v>2986</v>
      </c>
      <c r="B826" s="14" t="s">
        <v>18</v>
      </c>
      <c r="C826" s="14">
        <v>2025</v>
      </c>
      <c r="D826" s="14" t="str">
        <f t="array" ref="D826">_xlfn.SWITCH(E826,"Bagor","35.18.14","Sukomoro",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6" s="13" t="s">
        <v>7</v>
      </c>
      <c r="F826" s="25" t="s">
        <v>1547</v>
      </c>
      <c r="G826" s="25" t="s">
        <v>1282</v>
      </c>
      <c r="H826" s="13" t="s">
        <v>20</v>
      </c>
      <c r="I826" s="14" t="s">
        <v>36</v>
      </c>
      <c r="J826" s="49">
        <v>48</v>
      </c>
      <c r="K826" s="13" t="s">
        <v>34</v>
      </c>
      <c r="L826" s="22">
        <v>144000000</v>
      </c>
      <c r="M826" s="46"/>
      <c r="N826" s="17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</row>
    <row r="827" spans="1:67" s="3" customFormat="1" x14ac:dyDescent="0.2">
      <c r="A827" s="14" t="s">
        <v>2986</v>
      </c>
      <c r="B827" s="14" t="s">
        <v>18</v>
      </c>
      <c r="C827" s="14">
        <v>2025</v>
      </c>
      <c r="D827" s="14" t="str">
        <f t="array" ref="D827">_xlfn.SWITCH(E827,"Bagor","35.18.14","Sukomoro",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7" s="13" t="s">
        <v>7</v>
      </c>
      <c r="F827" s="25" t="s">
        <v>1547</v>
      </c>
      <c r="G827" s="25" t="s">
        <v>1548</v>
      </c>
      <c r="H827" s="13" t="s">
        <v>9</v>
      </c>
      <c r="I827" s="14" t="s">
        <v>1101</v>
      </c>
      <c r="J827" s="49">
        <f>2*12</f>
        <v>24</v>
      </c>
      <c r="K827" s="13" t="s">
        <v>34</v>
      </c>
      <c r="L827" s="22">
        <v>36000000</v>
      </c>
      <c r="M827" s="46"/>
      <c r="N827" s="17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</row>
    <row r="828" spans="1:67" s="3" customFormat="1" x14ac:dyDescent="0.2">
      <c r="A828" s="14" t="s">
        <v>2986</v>
      </c>
      <c r="B828" s="14" t="s">
        <v>18</v>
      </c>
      <c r="C828" s="14">
        <v>2025</v>
      </c>
      <c r="D828" s="14" t="str">
        <f t="array" ref="D828">_xlfn.SWITCH(E828,"Bagor","35.18.14","Sukomoro",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8" s="13" t="s">
        <v>57</v>
      </c>
      <c r="F828" s="25" t="s">
        <v>1549</v>
      </c>
      <c r="G828" s="25" t="s">
        <v>1550</v>
      </c>
      <c r="H828" s="13" t="s">
        <v>20</v>
      </c>
      <c r="I828" s="14" t="s">
        <v>1551</v>
      </c>
      <c r="J828" s="49">
        <v>6</v>
      </c>
      <c r="K828" s="13" t="s">
        <v>1102</v>
      </c>
      <c r="L828" s="22">
        <v>72000000</v>
      </c>
      <c r="M828" s="46"/>
      <c r="N828" s="17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</row>
    <row r="829" spans="1:67" s="3" customFormat="1" ht="20" x14ac:dyDescent="0.2">
      <c r="A829" s="14" t="s">
        <v>2986</v>
      </c>
      <c r="B829" s="14" t="s">
        <v>18</v>
      </c>
      <c r="C829" s="14">
        <v>2025</v>
      </c>
      <c r="D829" s="14" t="str">
        <f t="array" ref="D829">_xlfn.SWITCH(E829,"Bagor","35.18.14","Sukomoro",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9" s="13" t="s">
        <v>7</v>
      </c>
      <c r="F829" s="25" t="s">
        <v>1361</v>
      </c>
      <c r="G829" s="25" t="s">
        <v>1552</v>
      </c>
      <c r="H829" s="13" t="s">
        <v>9</v>
      </c>
      <c r="I829" s="14" t="s">
        <v>1101</v>
      </c>
      <c r="J829" s="49">
        <f>6*12</f>
        <v>72</v>
      </c>
      <c r="K829" s="13" t="s">
        <v>34</v>
      </c>
      <c r="L829" s="22">
        <v>72000000</v>
      </c>
      <c r="M829" s="46"/>
      <c r="N829" s="17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</row>
    <row r="830" spans="1:67" s="3" customFormat="1" ht="20" x14ac:dyDescent="0.2">
      <c r="A830" s="14" t="s">
        <v>2986</v>
      </c>
      <c r="B830" s="14" t="s">
        <v>18</v>
      </c>
      <c r="C830" s="14">
        <v>2025</v>
      </c>
      <c r="D830" s="14" t="str">
        <f t="array" ref="D830">_xlfn.SWITCH(E830,"Bagor","35.18.14","Sukomoro",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30" s="13" t="s">
        <v>57</v>
      </c>
      <c r="F830" s="25" t="s">
        <v>1553</v>
      </c>
      <c r="G830" s="25" t="s">
        <v>1554</v>
      </c>
      <c r="H830" s="13" t="s">
        <v>20</v>
      </c>
      <c r="I830" s="14" t="s">
        <v>1101</v>
      </c>
      <c r="J830" s="49">
        <v>40</v>
      </c>
      <c r="K830" s="13" t="s">
        <v>34</v>
      </c>
      <c r="L830" s="22">
        <v>240000000</v>
      </c>
      <c r="M830" s="46"/>
      <c r="N830" s="17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</row>
    <row r="831" spans="1:67" s="3" customFormat="1" x14ac:dyDescent="0.2">
      <c r="A831" s="14" t="s">
        <v>2986</v>
      </c>
      <c r="B831" s="14" t="s">
        <v>18</v>
      </c>
      <c r="C831" s="14">
        <v>2025</v>
      </c>
      <c r="D831" s="14" t="str">
        <f t="array" ref="D831">_xlfn.SWITCH(E831,"Bagor","35.18.14","Sukomoro",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1" s="13" t="s">
        <v>7</v>
      </c>
      <c r="F831" s="25" t="s">
        <v>1555</v>
      </c>
      <c r="G831" s="25" t="s">
        <v>1556</v>
      </c>
      <c r="H831" s="13" t="s">
        <v>20</v>
      </c>
      <c r="I831" s="14" t="s">
        <v>1557</v>
      </c>
      <c r="J831" s="49">
        <v>4000</v>
      </c>
      <c r="K831" s="13" t="s">
        <v>1266</v>
      </c>
      <c r="L831" s="22">
        <v>1200000000</v>
      </c>
      <c r="M831" s="46"/>
      <c r="N831" s="17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</row>
    <row r="832" spans="1:67" s="3" customFormat="1" x14ac:dyDescent="0.2">
      <c r="A832" s="14" t="s">
        <v>2986</v>
      </c>
      <c r="B832" s="14" t="s">
        <v>18</v>
      </c>
      <c r="C832" s="14">
        <v>2025</v>
      </c>
      <c r="D832" s="14" t="str">
        <f t="array" ref="D832">_xlfn.SWITCH(E832,"Bagor","35.18.14","Sukomoro",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32" s="13" t="s">
        <v>18</v>
      </c>
      <c r="F832" s="25" t="s">
        <v>1558</v>
      </c>
      <c r="G832" s="25" t="s">
        <v>1559</v>
      </c>
      <c r="H832" s="13" t="s">
        <v>43</v>
      </c>
      <c r="I832" s="14" t="s">
        <v>736</v>
      </c>
      <c r="J832" s="49">
        <v>11000</v>
      </c>
      <c r="K832" s="13" t="s">
        <v>737</v>
      </c>
      <c r="L832" s="22">
        <v>258500000</v>
      </c>
      <c r="M832" s="46"/>
      <c r="N832" s="17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</row>
    <row r="833" spans="1:67" s="3" customFormat="1" x14ac:dyDescent="0.2">
      <c r="A833" s="14" t="s">
        <v>2986</v>
      </c>
      <c r="B833" s="14" t="s">
        <v>18</v>
      </c>
      <c r="C833" s="14">
        <v>2025</v>
      </c>
      <c r="D833" s="14" t="str">
        <f t="array" ref="D833">_xlfn.SWITCH(E833,"Bagor","35.18.14","Sukomoro",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3" s="13" t="s">
        <v>7</v>
      </c>
      <c r="F833" s="25" t="s">
        <v>1555</v>
      </c>
      <c r="G833" s="25" t="s">
        <v>1560</v>
      </c>
      <c r="H833" s="13" t="s">
        <v>9</v>
      </c>
      <c r="I833" s="14" t="s">
        <v>1101</v>
      </c>
      <c r="J833" s="49">
        <f>7*4*12</f>
        <v>336</v>
      </c>
      <c r="K833" s="13" t="s">
        <v>22</v>
      </c>
      <c r="L833" s="22">
        <v>252000000</v>
      </c>
      <c r="M833" s="46"/>
      <c r="N833" s="17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</row>
    <row r="834" spans="1:67" s="3" customFormat="1" x14ac:dyDescent="0.2">
      <c r="A834" s="14" t="s">
        <v>2986</v>
      </c>
      <c r="B834" s="14" t="s">
        <v>18</v>
      </c>
      <c r="C834" s="14">
        <v>2025</v>
      </c>
      <c r="D834" s="14" t="str">
        <f t="array" ref="D834">_xlfn.SWITCH(E834,"Bagor","35.18.14","Sukomoro",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4" s="13" t="s">
        <v>7</v>
      </c>
      <c r="F834" s="25" t="s">
        <v>1555</v>
      </c>
      <c r="G834" s="25" t="s">
        <v>1561</v>
      </c>
      <c r="H834" s="13" t="s">
        <v>20</v>
      </c>
      <c r="I834" s="14" t="s">
        <v>1101</v>
      </c>
      <c r="J834" s="49">
        <v>2500</v>
      </c>
      <c r="K834" s="13" t="s">
        <v>1102</v>
      </c>
      <c r="L834" s="22">
        <v>875000000</v>
      </c>
      <c r="M834" s="46"/>
      <c r="N834" s="17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</row>
    <row r="835" spans="1:67" s="3" customFormat="1" x14ac:dyDescent="0.2">
      <c r="A835" s="14" t="s">
        <v>2986</v>
      </c>
      <c r="B835" s="14" t="s">
        <v>18</v>
      </c>
      <c r="C835" s="14">
        <v>2025</v>
      </c>
      <c r="D835" s="14" t="str">
        <f t="array" ref="D835">_xlfn.SWITCH(E835,"Bagor","35.18.14","Sukomoro",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5" s="13" t="s">
        <v>7</v>
      </c>
      <c r="F835" s="25" t="s">
        <v>1320</v>
      </c>
      <c r="G835" s="25" t="s">
        <v>1562</v>
      </c>
      <c r="H835" s="13" t="s">
        <v>20</v>
      </c>
      <c r="I835" s="14" t="s">
        <v>1101</v>
      </c>
      <c r="J835" s="49">
        <f>18*12</f>
        <v>216</v>
      </c>
      <c r="K835" s="13" t="s">
        <v>1102</v>
      </c>
      <c r="L835" s="22">
        <v>540000000</v>
      </c>
      <c r="M835" s="46"/>
      <c r="N835" s="17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</row>
    <row r="836" spans="1:67" s="3" customFormat="1" x14ac:dyDescent="0.2">
      <c r="A836" s="14" t="s">
        <v>2986</v>
      </c>
      <c r="B836" s="14" t="s">
        <v>18</v>
      </c>
      <c r="C836" s="14">
        <v>2025</v>
      </c>
      <c r="D836" s="14" t="str">
        <f t="array" ref="D836">_xlfn.SWITCH(E836,"Jatikalen","35.18.20","Kertosono", "35.18.08","Lengkong","35.18.19","Loceret","35.18.04","Tanjunganom","35.18.11","Wilangan","35.18.15")</f>
        <v>35.18.04</v>
      </c>
      <c r="E836" s="13" t="s">
        <v>15</v>
      </c>
      <c r="F836" s="25" t="s">
        <v>1532</v>
      </c>
      <c r="G836" s="25" t="s">
        <v>1563</v>
      </c>
      <c r="H836" s="13" t="s">
        <v>20</v>
      </c>
      <c r="I836" s="14" t="s">
        <v>1101</v>
      </c>
      <c r="J836" s="49">
        <f>14+8*12</f>
        <v>110</v>
      </c>
      <c r="K836" s="13" t="s">
        <v>1102</v>
      </c>
      <c r="L836" s="22">
        <v>143000000</v>
      </c>
      <c r="M836" s="46"/>
      <c r="N836" s="17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</row>
    <row r="837" spans="1:67" s="3" customFormat="1" ht="20" x14ac:dyDescent="0.2">
      <c r="A837" s="14" t="s">
        <v>2986</v>
      </c>
      <c r="B837" s="14" t="s">
        <v>18</v>
      </c>
      <c r="C837" s="14">
        <v>2025</v>
      </c>
      <c r="D837" s="14" t="str">
        <f t="array" ref="D837">_xlfn.SWITCH(E837,"Jatikalen","35.18.20","Kertosono", "35.18.08","Lengkong","35.18.19","Loceret","35.18.04","Tanjunganom","35.18.11","Wilangan","35.18.15")</f>
        <v>35.18.08</v>
      </c>
      <c r="E837" s="13" t="s">
        <v>75</v>
      </c>
      <c r="F837" s="25" t="s">
        <v>1564</v>
      </c>
      <c r="G837" s="25" t="s">
        <v>1565</v>
      </c>
      <c r="H837" s="13" t="s">
        <v>9</v>
      </c>
      <c r="I837" s="14" t="s">
        <v>109</v>
      </c>
      <c r="J837" s="49">
        <v>14</v>
      </c>
      <c r="K837" s="13" t="s">
        <v>730</v>
      </c>
      <c r="L837" s="22">
        <v>93600000</v>
      </c>
      <c r="M837" s="46"/>
      <c r="N837" s="17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</row>
    <row r="838" spans="1:67" s="3" customFormat="1" ht="20" x14ac:dyDescent="0.2">
      <c r="A838" s="14" t="s">
        <v>2986</v>
      </c>
      <c r="B838" s="14" t="s">
        <v>18</v>
      </c>
      <c r="C838" s="14">
        <v>2025</v>
      </c>
      <c r="D838" s="14" t="str">
        <f t="array" ref="D838">_xlfn.SWITCH(E838,"Jatikalen","35.18.20","Kertosono", "35.18.08","Lengkong","35.18.19","Loceret","35.18.04","Tanjunganom","35.18.11","Wilangan","35.18.15")</f>
        <v>35.18.08</v>
      </c>
      <c r="E838" s="13" t="s">
        <v>75</v>
      </c>
      <c r="F838" s="25" t="s">
        <v>1564</v>
      </c>
      <c r="G838" s="25" t="s">
        <v>1566</v>
      </c>
      <c r="H838" s="13" t="s">
        <v>9</v>
      </c>
      <c r="I838" s="14" t="s">
        <v>109</v>
      </c>
      <c r="J838" s="49">
        <v>4</v>
      </c>
      <c r="K838" s="13" t="s">
        <v>730</v>
      </c>
      <c r="L838" s="22">
        <v>20592000</v>
      </c>
      <c r="M838" s="46"/>
      <c r="N838" s="17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</row>
    <row r="839" spans="1:67" s="3" customFormat="1" ht="20" x14ac:dyDescent="0.2">
      <c r="A839" s="14" t="s">
        <v>2986</v>
      </c>
      <c r="B839" s="14" t="s">
        <v>18</v>
      </c>
      <c r="C839" s="14">
        <v>2025</v>
      </c>
      <c r="D839" s="14" t="str">
        <f t="array" ref="D839">_xlfn.SWITCH(E839,"Jatikalen","35.18.20","Kertosono", "35.18.08","Lengkong","35.18.19","Loceret","35.18.04","Tanjunganom","35.18.11","Wilangan","35.18.15")</f>
        <v>35.18.08</v>
      </c>
      <c r="E839" s="13" t="s">
        <v>75</v>
      </c>
      <c r="F839" s="25" t="s">
        <v>1564</v>
      </c>
      <c r="G839" s="25" t="s">
        <v>1567</v>
      </c>
      <c r="H839" s="13" t="s">
        <v>9</v>
      </c>
      <c r="I839" s="14" t="s">
        <v>109</v>
      </c>
      <c r="J839" s="49">
        <v>2</v>
      </c>
      <c r="K839" s="13" t="s">
        <v>730</v>
      </c>
      <c r="L839" s="22">
        <v>12012000</v>
      </c>
      <c r="M839" s="46"/>
      <c r="N839" s="17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</row>
    <row r="840" spans="1:67" s="3" customFormat="1" ht="20" x14ac:dyDescent="0.2">
      <c r="A840" s="14" t="s">
        <v>2986</v>
      </c>
      <c r="B840" s="14" t="s">
        <v>18</v>
      </c>
      <c r="C840" s="14">
        <v>2025</v>
      </c>
      <c r="D840" s="14" t="str">
        <f t="array" ref="D840">_xlfn.SWITCH(E840,"Jatikalen","35.18.20","Kertosono", "35.18.08","Lengkong","35.18.19","Loceret","35.18.04","Tanjunganom","35.18.11","Wilangan","35.18.15")</f>
        <v>35.18.08</v>
      </c>
      <c r="E840" s="13" t="s">
        <v>75</v>
      </c>
      <c r="F840" s="25" t="s">
        <v>1564</v>
      </c>
      <c r="G840" s="25" t="s">
        <v>1191</v>
      </c>
      <c r="H840" s="13" t="s">
        <v>9</v>
      </c>
      <c r="I840" s="14" t="s">
        <v>109</v>
      </c>
      <c r="J840" s="49">
        <v>8</v>
      </c>
      <c r="K840" s="13" t="s">
        <v>730</v>
      </c>
      <c r="L840" s="22">
        <v>40560000</v>
      </c>
      <c r="M840" s="46"/>
      <c r="N840" s="17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</row>
    <row r="841" spans="1:67" s="3" customFormat="1" ht="20" x14ac:dyDescent="0.2">
      <c r="A841" s="14" t="s">
        <v>2986</v>
      </c>
      <c r="B841" s="14" t="s">
        <v>18</v>
      </c>
      <c r="C841" s="14">
        <v>2025</v>
      </c>
      <c r="D841" s="14" t="str">
        <f t="array" ref="D841">_xlfn.SWITCH(E841,"Jatikalen","35.18.20","Kertosono", "35.18.08","Lengkong","35.18.19","Loceret","35.18.04","Tanjunganom","35.18.11","Wilangan","35.18.15")</f>
        <v>35.18.08</v>
      </c>
      <c r="E841" s="13" t="s">
        <v>75</v>
      </c>
      <c r="F841" s="25" t="s">
        <v>1564</v>
      </c>
      <c r="G841" s="25" t="s">
        <v>1568</v>
      </c>
      <c r="H841" s="13" t="s">
        <v>9</v>
      </c>
      <c r="I841" s="14" t="s">
        <v>109</v>
      </c>
      <c r="J841" s="49">
        <v>9</v>
      </c>
      <c r="K841" s="13" t="s">
        <v>730</v>
      </c>
      <c r="L841" s="22">
        <v>42120000</v>
      </c>
      <c r="M841" s="46"/>
      <c r="N841" s="17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</row>
    <row r="842" spans="1:67" s="3" customFormat="1" x14ac:dyDescent="0.2">
      <c r="A842" s="14" t="s">
        <v>2986</v>
      </c>
      <c r="B842" s="14" t="s">
        <v>18</v>
      </c>
      <c r="C842" s="14">
        <v>2025</v>
      </c>
      <c r="D842" s="14" t="str">
        <f t="array" ref="D842">_xlfn.SWITCH(E842,"Bagor","35.18.14","Sukomoro",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842" s="13" t="s">
        <v>65</v>
      </c>
      <c r="F842" s="25" t="s">
        <v>1118</v>
      </c>
      <c r="G842" s="25" t="s">
        <v>1569</v>
      </c>
      <c r="H842" s="13" t="s">
        <v>20</v>
      </c>
      <c r="I842" s="14" t="s">
        <v>1229</v>
      </c>
      <c r="J842" s="49">
        <f>15*26*12</f>
        <v>4680</v>
      </c>
      <c r="K842" s="13" t="s">
        <v>730</v>
      </c>
      <c r="L842" s="22">
        <v>187200000</v>
      </c>
      <c r="M842" s="46"/>
      <c r="N842" s="17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</row>
    <row r="843" spans="1:67" s="3" customFormat="1" x14ac:dyDescent="0.2">
      <c r="A843" s="14" t="s">
        <v>2986</v>
      </c>
      <c r="B843" s="14" t="s">
        <v>18</v>
      </c>
      <c r="C843" s="14">
        <v>2025</v>
      </c>
      <c r="D843" s="14" t="str">
        <f t="array" ref="D843">_xlfn.SWITCH(E843,"Jatikalen","35.18.20","Kertosono", "35.18.08","Lengkong","35.18.19","Loceret","35.18.04","Tanjunganom","35.18.11","Wilangan","35.18.15")</f>
        <v>35.18.04</v>
      </c>
      <c r="E843" s="13" t="s">
        <v>15</v>
      </c>
      <c r="F843" s="25" t="s">
        <v>1570</v>
      </c>
      <c r="G843" s="25" t="s">
        <v>1571</v>
      </c>
      <c r="H843" s="13" t="s">
        <v>9</v>
      </c>
      <c r="I843" s="14" t="s">
        <v>1572</v>
      </c>
      <c r="J843" s="49">
        <v>5000</v>
      </c>
      <c r="K843" s="13" t="s">
        <v>22</v>
      </c>
      <c r="L843" s="22">
        <v>172500000</v>
      </c>
      <c r="M843" s="46"/>
      <c r="N843" s="17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</row>
    <row r="844" spans="1:67" s="3" customFormat="1" x14ac:dyDescent="0.2">
      <c r="A844" s="14" t="s">
        <v>2986</v>
      </c>
      <c r="B844" s="14" t="s">
        <v>18</v>
      </c>
      <c r="C844" s="14">
        <v>2025</v>
      </c>
      <c r="D844" s="14" t="str">
        <f t="array" ref="D844">_xlfn.SWITCH(E844,"Bagor","35.18.14","Sukomoro",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844" s="13" t="s">
        <v>98</v>
      </c>
      <c r="F844" s="25" t="s">
        <v>1252</v>
      </c>
      <c r="G844" s="25" t="s">
        <v>1573</v>
      </c>
      <c r="H844" s="13" t="s">
        <v>43</v>
      </c>
      <c r="I844" s="14" t="s">
        <v>840</v>
      </c>
      <c r="J844" s="49">
        <v>22500</v>
      </c>
      <c r="K844" s="13" t="s">
        <v>730</v>
      </c>
      <c r="L844" s="22">
        <v>450000000</v>
      </c>
      <c r="M844" s="46"/>
      <c r="N844" s="17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</row>
    <row r="845" spans="1:67" s="3" customFormat="1" x14ac:dyDescent="0.2">
      <c r="A845" s="14" t="s">
        <v>2986</v>
      </c>
      <c r="B845" s="14" t="s">
        <v>18</v>
      </c>
      <c r="C845" s="14">
        <v>2025</v>
      </c>
      <c r="D845" s="14" t="str">
        <f t="array" ref="D845">_xlfn.SWITCH(E845,"Jatikalen","35.18.20","Kertosono", "35.18.08","Lengkong","35.18.19","Loceret","35.18.04","Tanjunganom","35.18.11","Wilangan","35.18.15")</f>
        <v>35.18.11</v>
      </c>
      <c r="E845" s="13" t="s">
        <v>27</v>
      </c>
      <c r="F845" s="25" t="s">
        <v>1427</v>
      </c>
      <c r="G845" s="25" t="s">
        <v>1574</v>
      </c>
      <c r="H845" s="13" t="s">
        <v>20</v>
      </c>
      <c r="I845" s="14" t="s">
        <v>1557</v>
      </c>
      <c r="J845" s="49">
        <f>250*12</f>
        <v>3000</v>
      </c>
      <c r="K845" s="13" t="s">
        <v>730</v>
      </c>
      <c r="L845" s="22">
        <v>255000000</v>
      </c>
      <c r="M845" s="46"/>
      <c r="N845" s="17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</row>
    <row r="846" spans="1:67" s="3" customFormat="1" x14ac:dyDescent="0.2">
      <c r="A846" s="14" t="s">
        <v>2986</v>
      </c>
      <c r="B846" s="14" t="s">
        <v>18</v>
      </c>
      <c r="C846" s="14">
        <v>2025</v>
      </c>
      <c r="D846" s="14" t="str">
        <f t="array" ref="D846">_xlfn.SWITCH(E846,"Jatikalen","35.18.20","Kertosono", "35.18.08","Lengkong","35.18.19","Loceret","35.18.04","Tanjunganom","35.18.11","Wilangan","35.18.15")</f>
        <v>35.18.11</v>
      </c>
      <c r="E846" s="13" t="s">
        <v>27</v>
      </c>
      <c r="F846" s="25" t="s">
        <v>1427</v>
      </c>
      <c r="G846" s="25" t="s">
        <v>1575</v>
      </c>
      <c r="H846" s="13" t="s">
        <v>9</v>
      </c>
      <c r="I846" s="14" t="s">
        <v>1434</v>
      </c>
      <c r="J846" s="49">
        <f>300*26*12</f>
        <v>93600</v>
      </c>
      <c r="K846" s="13" t="s">
        <v>22</v>
      </c>
      <c r="L846" s="22">
        <v>46800000</v>
      </c>
      <c r="M846" s="46"/>
      <c r="N846" s="17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</row>
    <row r="847" spans="1:67" s="3" customFormat="1" x14ac:dyDescent="0.2">
      <c r="A847" s="14" t="s">
        <v>2986</v>
      </c>
      <c r="B847" s="14" t="s">
        <v>18</v>
      </c>
      <c r="C847" s="14">
        <v>2025</v>
      </c>
      <c r="D847" s="14" t="str">
        <f t="array" ref="D847">_xlfn.SWITCH(E847,"Jatikalen","35.18.20","Kertosono", "35.18.08","Lengkong","35.18.19","Loceret","35.18.04","Tanjunganom","35.18.11","Wilangan","35.18.15")</f>
        <v>35.18.11</v>
      </c>
      <c r="E847" s="13" t="s">
        <v>27</v>
      </c>
      <c r="F847" s="25" t="s">
        <v>1427</v>
      </c>
      <c r="G847" s="25" t="s">
        <v>1576</v>
      </c>
      <c r="H847" s="13" t="s">
        <v>9</v>
      </c>
      <c r="I847" s="14" t="s">
        <v>1434</v>
      </c>
      <c r="J847" s="49">
        <f>350*12*26</f>
        <v>109200</v>
      </c>
      <c r="K847" s="13" t="s">
        <v>22</v>
      </c>
      <c r="L847" s="22">
        <v>54600000</v>
      </c>
      <c r="M847" s="46"/>
      <c r="N847" s="17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</row>
    <row r="848" spans="1:67" s="3" customFormat="1" x14ac:dyDescent="0.2">
      <c r="A848" s="14" t="s">
        <v>2986</v>
      </c>
      <c r="B848" s="14" t="s">
        <v>18</v>
      </c>
      <c r="C848" s="14">
        <v>2025</v>
      </c>
      <c r="D848" s="14" t="str">
        <f t="array" ref="D848">_xlfn.SWITCH(E848,"Jatikalen","35.18.20","Kertosono", "35.18.08","Lengkong","35.18.19","Loceret","35.18.04","Tanjunganom","35.18.11","Wilangan","35.18.15")</f>
        <v>35.18.11</v>
      </c>
      <c r="E848" s="13" t="s">
        <v>27</v>
      </c>
      <c r="F848" s="25" t="s">
        <v>1427</v>
      </c>
      <c r="G848" s="25" t="s">
        <v>755</v>
      </c>
      <c r="H848" s="13" t="s">
        <v>9</v>
      </c>
      <c r="I848" s="14" t="s">
        <v>1434</v>
      </c>
      <c r="J848" s="49">
        <f>500*26*12</f>
        <v>156000</v>
      </c>
      <c r="K848" s="13" t="s">
        <v>22</v>
      </c>
      <c r="L848" s="22">
        <v>62400000</v>
      </c>
      <c r="M848" s="46"/>
      <c r="N848" s="17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</row>
    <row r="849" spans="1:67" s="3" customFormat="1" x14ac:dyDescent="0.2">
      <c r="A849" s="14" t="s">
        <v>2986</v>
      </c>
      <c r="B849" s="14" t="s">
        <v>18</v>
      </c>
      <c r="C849" s="14">
        <v>2025</v>
      </c>
      <c r="D849" s="14" t="str">
        <f t="array" ref="D849">_xlfn.SWITCH(E849,"Jatikalen","35.18.20","Kertosono", "35.18.08","Lengkong","35.18.19","Loceret","35.18.04","Tanjunganom","35.18.11","Wilangan","35.18.15")</f>
        <v>35.18.11</v>
      </c>
      <c r="E849" s="13" t="s">
        <v>27</v>
      </c>
      <c r="F849" s="25" t="s">
        <v>1427</v>
      </c>
      <c r="G849" s="25" t="s">
        <v>1577</v>
      </c>
      <c r="H849" s="13" t="s">
        <v>9</v>
      </c>
      <c r="I849" s="14" t="s">
        <v>1434</v>
      </c>
      <c r="J849" s="49">
        <f>500*26*12</f>
        <v>156000</v>
      </c>
      <c r="K849" s="13" t="s">
        <v>22</v>
      </c>
      <c r="L849" s="22">
        <v>78000000</v>
      </c>
      <c r="M849" s="46"/>
      <c r="N849" s="17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</row>
    <row r="850" spans="1:67" s="3" customFormat="1" x14ac:dyDescent="0.2">
      <c r="A850" s="14" t="s">
        <v>2986</v>
      </c>
      <c r="B850" s="14" t="s">
        <v>18</v>
      </c>
      <c r="C850" s="14">
        <v>2025</v>
      </c>
      <c r="D850" s="14" t="str">
        <f t="array" ref="D850">_xlfn.SWITCH(E850,"Jatikalen","35.18.20","Kertosono", "35.18.08","Lengkong","35.18.19","Loceret","35.18.04","Tanjunganom","35.18.11","Wilangan","35.18.15")</f>
        <v>35.18.11</v>
      </c>
      <c r="E850" s="13" t="s">
        <v>27</v>
      </c>
      <c r="F850" s="25" t="s">
        <v>1427</v>
      </c>
      <c r="G850" s="25" t="s">
        <v>1578</v>
      </c>
      <c r="H850" s="13" t="s">
        <v>9</v>
      </c>
      <c r="I850" s="14" t="s">
        <v>1434</v>
      </c>
      <c r="J850" s="49">
        <f>300*26*12</f>
        <v>93600</v>
      </c>
      <c r="K850" s="13" t="s">
        <v>22</v>
      </c>
      <c r="L850" s="22">
        <v>48672000</v>
      </c>
      <c r="M850" s="46"/>
      <c r="N850" s="17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</row>
    <row r="851" spans="1:67" s="3" customFormat="1" x14ac:dyDescent="0.2">
      <c r="A851" s="14" t="s">
        <v>2986</v>
      </c>
      <c r="B851" s="14" t="s">
        <v>18</v>
      </c>
      <c r="C851" s="14">
        <v>2025</v>
      </c>
      <c r="D851" s="14" t="str">
        <f t="array" ref="D851">_xlfn.SWITCH(E851,"Jatikalen","35.18.20","Kertosono", "35.18.08","Lengkong","35.18.19","Loceret","35.18.04","Tanjunganom","35.18.11","Wilangan","35.18.15")</f>
        <v>35.18.11</v>
      </c>
      <c r="E851" s="13" t="s">
        <v>27</v>
      </c>
      <c r="F851" s="25" t="s">
        <v>1427</v>
      </c>
      <c r="G851" s="25" t="s">
        <v>1579</v>
      </c>
      <c r="H851" s="13" t="s">
        <v>9</v>
      </c>
      <c r="I851" s="14" t="s">
        <v>1434</v>
      </c>
      <c r="J851" s="49">
        <f>500*26*12</f>
        <v>156000</v>
      </c>
      <c r="K851" s="13" t="s">
        <v>22</v>
      </c>
      <c r="L851" s="22">
        <v>78000000</v>
      </c>
      <c r="M851" s="46"/>
      <c r="N851" s="17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</row>
    <row r="852" spans="1:67" s="3" customFormat="1" x14ac:dyDescent="0.2">
      <c r="A852" s="14" t="s">
        <v>2986</v>
      </c>
      <c r="B852" s="14" t="s">
        <v>18</v>
      </c>
      <c r="C852" s="14">
        <v>2025</v>
      </c>
      <c r="D852" s="14" t="str">
        <f t="array" ref="D852">_xlfn.SWITCH(E852,"Jatikalen","35.18.20","Kertosono", "35.18.08","Lengkong","35.18.19","Loceret","35.18.04","Tanjunganom","35.18.11","Wilangan","35.18.15")</f>
        <v>35.18.11</v>
      </c>
      <c r="E852" s="13" t="s">
        <v>27</v>
      </c>
      <c r="F852" s="25" t="s">
        <v>1427</v>
      </c>
      <c r="G852" s="25" t="s">
        <v>1191</v>
      </c>
      <c r="H852" s="13" t="s">
        <v>9</v>
      </c>
      <c r="I852" s="14" t="s">
        <v>1434</v>
      </c>
      <c r="J852" s="49">
        <f>500*12*26</f>
        <v>156000</v>
      </c>
      <c r="K852" s="13" t="s">
        <v>22</v>
      </c>
      <c r="L852" s="22">
        <v>85800000</v>
      </c>
      <c r="M852" s="46"/>
      <c r="N852" s="17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</row>
    <row r="853" spans="1:67" s="3" customFormat="1" x14ac:dyDescent="0.2">
      <c r="A853" s="14" t="s">
        <v>2986</v>
      </c>
      <c r="B853" s="14" t="s">
        <v>18</v>
      </c>
      <c r="C853" s="14">
        <v>2025</v>
      </c>
      <c r="D853" s="14" t="str">
        <f t="array" ref="D853">_xlfn.SWITCH(E853,"Jatikalen","35.18.20","Kertosono", "35.18.08","Lengkong","35.18.19","Loceret","35.18.04","Tanjunganom","35.18.11","Wilangan","35.18.15")</f>
        <v>35.18.11</v>
      </c>
      <c r="E853" s="13" t="s">
        <v>27</v>
      </c>
      <c r="F853" s="25" t="s">
        <v>1427</v>
      </c>
      <c r="G853" s="25" t="s">
        <v>1580</v>
      </c>
      <c r="H853" s="13" t="s">
        <v>9</v>
      </c>
      <c r="I853" s="14" t="s">
        <v>1434</v>
      </c>
      <c r="J853" s="49">
        <f>500*26*12</f>
        <v>156000</v>
      </c>
      <c r="K853" s="13" t="s">
        <v>22</v>
      </c>
      <c r="L853" s="22">
        <v>87360000</v>
      </c>
      <c r="M853" s="46"/>
      <c r="N853" s="17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</row>
    <row r="854" spans="1:67" s="3" customFormat="1" x14ac:dyDescent="0.2">
      <c r="A854" s="14" t="s">
        <v>2986</v>
      </c>
      <c r="B854" s="14" t="s">
        <v>18</v>
      </c>
      <c r="C854" s="14">
        <v>2025</v>
      </c>
      <c r="D854" s="14" t="str">
        <f t="array" ref="D854">_xlfn.SWITCH(E854,"Jatikalen","35.18.20","Kertosono", "35.18.08","Lengkong","35.18.19","Loceret","35.18.04","Tanjunganom","35.18.11","Wilangan","35.18.15")</f>
        <v>35.18.11</v>
      </c>
      <c r="E854" s="13" t="s">
        <v>27</v>
      </c>
      <c r="F854" s="25" t="s">
        <v>1427</v>
      </c>
      <c r="G854" s="25" t="s">
        <v>1581</v>
      </c>
      <c r="H854" s="13" t="s">
        <v>9</v>
      </c>
      <c r="I854" s="14" t="s">
        <v>1434</v>
      </c>
      <c r="J854" s="49">
        <f>100*26*12</f>
        <v>31200</v>
      </c>
      <c r="K854" s="13" t="s">
        <v>22</v>
      </c>
      <c r="L854" s="22">
        <v>15600000</v>
      </c>
      <c r="M854" s="46"/>
      <c r="N854" s="17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</row>
    <row r="855" spans="1:67" s="3" customFormat="1" x14ac:dyDescent="0.2">
      <c r="A855" s="14" t="s">
        <v>2986</v>
      </c>
      <c r="B855" s="14" t="s">
        <v>18</v>
      </c>
      <c r="C855" s="14">
        <v>2025</v>
      </c>
      <c r="D855" s="14" t="str">
        <f t="array" ref="D855">_xlfn.SWITCH(E855,"Jatikalen","35.18.20","Kertosono", "35.18.08","Lengkong","35.18.19","Loceret","35.18.04","Tanjunganom","35.18.11","Wilangan","35.18.15")</f>
        <v>35.18.11</v>
      </c>
      <c r="E855" s="13" t="s">
        <v>27</v>
      </c>
      <c r="F855" s="25" t="s">
        <v>1427</v>
      </c>
      <c r="G855" s="25" t="s">
        <v>1205</v>
      </c>
      <c r="H855" s="13" t="s">
        <v>9</v>
      </c>
      <c r="I855" s="14" t="s">
        <v>1434</v>
      </c>
      <c r="J855" s="49">
        <v>156000</v>
      </c>
      <c r="K855" s="13" t="s">
        <v>22</v>
      </c>
      <c r="L855" s="22">
        <v>78000000</v>
      </c>
      <c r="M855" s="46"/>
      <c r="N855" s="17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</row>
    <row r="856" spans="1:67" s="3" customFormat="1" x14ac:dyDescent="0.2">
      <c r="A856" s="14" t="s">
        <v>2986</v>
      </c>
      <c r="B856" s="14" t="s">
        <v>18</v>
      </c>
      <c r="C856" s="14">
        <v>2025</v>
      </c>
      <c r="D856" s="14" t="str">
        <f t="array" ref="D856">_xlfn.SWITCH(E856,"Jatikalen","35.18.20","Kertosono", "35.18.08","Lengkong","35.18.19","Loceret","35.18.04","Tanjunganom","35.18.11","Wilangan","35.18.15")</f>
        <v>35.18.11</v>
      </c>
      <c r="E856" s="13" t="s">
        <v>27</v>
      </c>
      <c r="F856" s="25" t="s">
        <v>1427</v>
      </c>
      <c r="G856" s="25" t="s">
        <v>1582</v>
      </c>
      <c r="H856" s="13" t="s">
        <v>9</v>
      </c>
      <c r="I856" s="14" t="s">
        <v>1434</v>
      </c>
      <c r="J856" s="49">
        <f>800*6*12</f>
        <v>57600</v>
      </c>
      <c r="K856" s="13" t="s">
        <v>22</v>
      </c>
      <c r="L856" s="22">
        <v>28800000</v>
      </c>
      <c r="M856" s="46"/>
      <c r="N856" s="17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</row>
    <row r="857" spans="1:67" s="3" customFormat="1" x14ac:dyDescent="0.2">
      <c r="A857" s="14" t="s">
        <v>2986</v>
      </c>
      <c r="B857" s="14" t="s">
        <v>18</v>
      </c>
      <c r="C857" s="14">
        <v>2025</v>
      </c>
      <c r="D857" s="14" t="str">
        <f t="array" ref="D857">_xlfn.SWITCH(E857,"Jatikalen","35.18.20","Kertosono", "35.18.08","Lengkong","35.18.19","Loceret","35.18.04","Tanjunganom","35.18.11","Wilangan","35.18.15")</f>
        <v>35.18.11</v>
      </c>
      <c r="E857" s="13" t="s">
        <v>27</v>
      </c>
      <c r="F857" s="25" t="s">
        <v>1427</v>
      </c>
      <c r="G857" s="25" t="s">
        <v>1583</v>
      </c>
      <c r="H857" s="13" t="s">
        <v>9</v>
      </c>
      <c r="I857" s="14" t="s">
        <v>1434</v>
      </c>
      <c r="J857" s="49">
        <f>400*26*12</f>
        <v>124800</v>
      </c>
      <c r="K857" s="13" t="s">
        <v>22</v>
      </c>
      <c r="L857" s="22">
        <v>62400000</v>
      </c>
      <c r="M857" s="46"/>
      <c r="N857" s="17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</row>
    <row r="858" spans="1:67" s="3" customFormat="1" x14ac:dyDescent="0.2">
      <c r="A858" s="14" t="s">
        <v>2986</v>
      </c>
      <c r="B858" s="14" t="s">
        <v>18</v>
      </c>
      <c r="C858" s="14">
        <v>2025</v>
      </c>
      <c r="D858" s="14" t="str">
        <f t="array" ref="D858">_xlfn.SWITCH(E858,"Jatikalen","35.18.20","Kertosono", "35.18.08","Lengkong","35.18.19","Loceret","35.18.04","Tanjunganom","35.18.11","Wilangan","35.18.15")</f>
        <v>35.18.11</v>
      </c>
      <c r="E858" s="13" t="s">
        <v>27</v>
      </c>
      <c r="F858" s="25" t="s">
        <v>1427</v>
      </c>
      <c r="G858" s="25" t="s">
        <v>1584</v>
      </c>
      <c r="H858" s="13" t="s">
        <v>9</v>
      </c>
      <c r="I858" s="14" t="s">
        <v>1434</v>
      </c>
      <c r="J858" s="49">
        <f>6000*12</f>
        <v>72000</v>
      </c>
      <c r="K858" s="13" t="s">
        <v>22</v>
      </c>
      <c r="L858" s="22">
        <v>36000000</v>
      </c>
      <c r="M858" s="46"/>
      <c r="N858" s="17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</row>
    <row r="859" spans="1:67" s="3" customFormat="1" x14ac:dyDescent="0.2">
      <c r="A859" s="14" t="s">
        <v>2986</v>
      </c>
      <c r="B859" s="14" t="s">
        <v>18</v>
      </c>
      <c r="C859" s="14">
        <v>2025</v>
      </c>
      <c r="D859" s="14" t="str">
        <f t="array" ref="D859">_xlfn.SWITCH(E859,"Jatikalen","35.18.20","Kertosono", "35.18.08","Lengkong","35.18.19","Loceret","35.18.04","Tanjunganom","35.18.11","Wilangan","35.18.15")</f>
        <v>35.18.11</v>
      </c>
      <c r="E859" s="13" t="s">
        <v>27</v>
      </c>
      <c r="F859" s="25" t="s">
        <v>1427</v>
      </c>
      <c r="G859" s="25" t="s">
        <v>1585</v>
      </c>
      <c r="H859" s="13" t="s">
        <v>9</v>
      </c>
      <c r="I859" s="14" t="s">
        <v>1434</v>
      </c>
      <c r="J859" s="49">
        <f>500*26*12</f>
        <v>156000</v>
      </c>
      <c r="K859" s="13" t="s">
        <v>22</v>
      </c>
      <c r="L859" s="22">
        <v>78000000</v>
      </c>
      <c r="M859" s="46"/>
      <c r="N859" s="17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</row>
    <row r="860" spans="1:67" s="3" customFormat="1" x14ac:dyDescent="0.2">
      <c r="A860" s="14" t="s">
        <v>2986</v>
      </c>
      <c r="B860" s="14" t="s">
        <v>18</v>
      </c>
      <c r="C860" s="14">
        <v>2025</v>
      </c>
      <c r="D860" s="14" t="str">
        <f t="array" ref="D860">_xlfn.SWITCH(E860,"Jatikalen","35.18.20","Kertosono", "35.18.08","Lengkong","35.18.19","Loceret","35.18.04","Tanjunganom","35.18.11","Wilangan","35.18.15")</f>
        <v>35.18.11</v>
      </c>
      <c r="E860" s="13" t="s">
        <v>27</v>
      </c>
      <c r="F860" s="25" t="s">
        <v>1427</v>
      </c>
      <c r="G860" s="25" t="s">
        <v>1586</v>
      </c>
      <c r="H860" s="13" t="s">
        <v>9</v>
      </c>
      <c r="I860" s="14" t="s">
        <v>1434</v>
      </c>
      <c r="J860" s="49">
        <f>1000*26*12</f>
        <v>312000</v>
      </c>
      <c r="K860" s="13" t="s">
        <v>22</v>
      </c>
      <c r="L860" s="22">
        <v>140400000</v>
      </c>
      <c r="M860" s="46"/>
      <c r="N860" s="17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</row>
    <row r="861" spans="1:67" s="3" customFormat="1" x14ac:dyDescent="0.2">
      <c r="A861" s="14" t="s">
        <v>2986</v>
      </c>
      <c r="B861" s="14" t="s">
        <v>18</v>
      </c>
      <c r="C861" s="14">
        <v>2025</v>
      </c>
      <c r="D861" s="14" t="str">
        <f t="array" ref="D861">_xlfn.SWITCH(E861,"Jatikalen","35.18.20","Kertosono", "35.18.08","Lengkong","35.18.19","Loceret","35.18.04","Tanjunganom","35.18.11","Wilangan","35.18.15")</f>
        <v>35.18.11</v>
      </c>
      <c r="E861" s="13" t="s">
        <v>27</v>
      </c>
      <c r="F861" s="25" t="s">
        <v>1427</v>
      </c>
      <c r="G861" s="25" t="s">
        <v>1587</v>
      </c>
      <c r="H861" s="13" t="s">
        <v>9</v>
      </c>
      <c r="I861" s="14" t="s">
        <v>1434</v>
      </c>
      <c r="J861" s="49">
        <f>200*26*12</f>
        <v>62400</v>
      </c>
      <c r="K861" s="13" t="s">
        <v>22</v>
      </c>
      <c r="L861" s="22">
        <v>29328000</v>
      </c>
      <c r="M861" s="46"/>
      <c r="N861" s="17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</row>
    <row r="862" spans="1:67" s="3" customFormat="1" x14ac:dyDescent="0.2">
      <c r="A862" s="14" t="s">
        <v>2986</v>
      </c>
      <c r="B862" s="14" t="s">
        <v>18</v>
      </c>
      <c r="C862" s="14">
        <v>2025</v>
      </c>
      <c r="D862" s="14" t="str">
        <f t="array" ref="D862">_xlfn.SWITCH(E862,"Jatikalen","35.18.20","Kertosono", "35.18.08","Lengkong","35.18.19","Loceret","35.18.04","Tanjunganom","35.18.11","Wilangan","35.18.15")</f>
        <v>35.18.11</v>
      </c>
      <c r="E862" s="13" t="s">
        <v>27</v>
      </c>
      <c r="F862" s="25" t="s">
        <v>1427</v>
      </c>
      <c r="G862" s="25" t="s">
        <v>1262</v>
      </c>
      <c r="H862" s="13" t="s">
        <v>9</v>
      </c>
      <c r="I862" s="14" t="s">
        <v>1434</v>
      </c>
      <c r="J862" s="49">
        <f>200*12*26</f>
        <v>62400</v>
      </c>
      <c r="K862" s="13" t="s">
        <v>22</v>
      </c>
      <c r="L862" s="22">
        <v>31200000</v>
      </c>
      <c r="M862" s="46"/>
      <c r="N862" s="17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</row>
    <row r="863" spans="1:67" s="3" customFormat="1" x14ac:dyDescent="0.2">
      <c r="A863" s="14" t="s">
        <v>2986</v>
      </c>
      <c r="B863" s="14" t="s">
        <v>18</v>
      </c>
      <c r="C863" s="14">
        <v>2025</v>
      </c>
      <c r="D863" s="14" t="str">
        <f t="array" ref="D863">_xlfn.SWITCH(E863,"Jatikalen","35.18.20","Kertosono", "35.18.08","Lengkong","35.18.19","Loceret","35.18.04","Tanjunganom","35.18.11","Wilangan","35.18.15")</f>
        <v>35.18.11</v>
      </c>
      <c r="E863" s="13" t="s">
        <v>27</v>
      </c>
      <c r="F863" s="25" t="s">
        <v>1427</v>
      </c>
      <c r="G863" s="25" t="s">
        <v>1588</v>
      </c>
      <c r="H863" s="13" t="s">
        <v>9</v>
      </c>
      <c r="I863" s="14" t="s">
        <v>1434</v>
      </c>
      <c r="J863" s="49">
        <f>250*12*26</f>
        <v>78000</v>
      </c>
      <c r="K863" s="13" t="s">
        <v>22</v>
      </c>
      <c r="L863" s="22">
        <v>31200000</v>
      </c>
      <c r="M863" s="46"/>
      <c r="N863" s="17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</row>
    <row r="864" spans="1:67" s="3" customFormat="1" x14ac:dyDescent="0.2">
      <c r="A864" s="14" t="s">
        <v>2986</v>
      </c>
      <c r="B864" s="14" t="s">
        <v>18</v>
      </c>
      <c r="C864" s="14">
        <v>2025</v>
      </c>
      <c r="D864" s="14" t="str">
        <f t="array" ref="D864">_xlfn.SWITCH(E864,"Jatikalen","35.18.20","Kertosono", "35.18.08","Lengkong","35.18.19","Loceret","35.18.04","Tanjunganom","35.18.11","Wilangan","35.18.15")</f>
        <v>35.18.11</v>
      </c>
      <c r="E864" s="13" t="s">
        <v>27</v>
      </c>
      <c r="F864" s="25" t="s">
        <v>1427</v>
      </c>
      <c r="G864" s="25" t="s">
        <v>1589</v>
      </c>
      <c r="H864" s="13" t="s">
        <v>9</v>
      </c>
      <c r="I864" s="14" t="s">
        <v>1434</v>
      </c>
      <c r="J864" s="49">
        <f>750*12*26</f>
        <v>234000</v>
      </c>
      <c r="K864" s="13" t="s">
        <v>22</v>
      </c>
      <c r="L864" s="22">
        <v>131400000</v>
      </c>
      <c r="M864" s="46"/>
      <c r="N864" s="17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</row>
    <row r="865" spans="1:67" s="3" customFormat="1" x14ac:dyDescent="0.2">
      <c r="A865" s="14" t="s">
        <v>2986</v>
      </c>
      <c r="B865" s="14" t="s">
        <v>18</v>
      </c>
      <c r="C865" s="14">
        <v>2025</v>
      </c>
      <c r="D865" s="14" t="str">
        <f t="array" ref="D865">_xlfn.SWITCH(E865,"Jatikalen","35.18.20","Kertosono", "35.18.08","Lengkong","35.18.19","Loceret","35.18.04","Tanjunganom","35.18.11","Wilangan","35.18.15")</f>
        <v>35.18.11</v>
      </c>
      <c r="E865" s="13" t="s">
        <v>27</v>
      </c>
      <c r="F865" s="25" t="s">
        <v>1427</v>
      </c>
      <c r="G865" s="25" t="s">
        <v>1590</v>
      </c>
      <c r="H865" s="13" t="s">
        <v>9</v>
      </c>
      <c r="I865" s="14" t="s">
        <v>1434</v>
      </c>
      <c r="J865" s="49">
        <f>750*12*13</f>
        <v>117000</v>
      </c>
      <c r="K865" s="13" t="s">
        <v>22</v>
      </c>
      <c r="L865" s="22">
        <v>52650000</v>
      </c>
      <c r="M865" s="46"/>
      <c r="N865" s="17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</row>
    <row r="866" spans="1:67" s="3" customFormat="1" x14ac:dyDescent="0.2">
      <c r="A866" s="14" t="s">
        <v>2986</v>
      </c>
      <c r="B866" s="14" t="s">
        <v>18</v>
      </c>
      <c r="C866" s="14">
        <v>2025</v>
      </c>
      <c r="D866" s="14" t="str">
        <f t="array" ref="D866">_xlfn.SWITCH(E866,"Jatikalen","35.18.20","Kertosono", "35.18.08","Lengkong","35.18.19","Loceret","35.18.04","Tanjunganom","35.18.11","Wilangan","35.18.15")</f>
        <v>35.18.11</v>
      </c>
      <c r="E866" s="13" t="s">
        <v>27</v>
      </c>
      <c r="F866" s="25" t="s">
        <v>1427</v>
      </c>
      <c r="G866" s="25" t="s">
        <v>1591</v>
      </c>
      <c r="H866" s="13" t="s">
        <v>9</v>
      </c>
      <c r="I866" s="14" t="s">
        <v>1434</v>
      </c>
      <c r="J866" s="49">
        <f>200*12*26</f>
        <v>62400</v>
      </c>
      <c r="K866" s="13" t="s">
        <v>22</v>
      </c>
      <c r="L866" s="22">
        <v>28080000</v>
      </c>
      <c r="M866" s="46"/>
      <c r="N866" s="17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</row>
    <row r="867" spans="1:67" s="3" customFormat="1" x14ac:dyDescent="0.2">
      <c r="A867" s="14" t="s">
        <v>2986</v>
      </c>
      <c r="B867" s="14" t="s">
        <v>18</v>
      </c>
      <c r="C867" s="14">
        <v>2025</v>
      </c>
      <c r="D867" s="14" t="str">
        <f t="array" ref="D867">_xlfn.SWITCH(E867,"Jatikalen","35.18.20","Kertosono", "35.18.08","Lengkong","35.18.19","Loceret","35.18.04","Tanjunganom","35.18.11","Wilangan","35.18.15")</f>
        <v>35.18.11</v>
      </c>
      <c r="E867" s="13" t="s">
        <v>27</v>
      </c>
      <c r="F867" s="25" t="s">
        <v>1427</v>
      </c>
      <c r="G867" s="25" t="s">
        <v>1592</v>
      </c>
      <c r="H867" s="13" t="s">
        <v>9</v>
      </c>
      <c r="I867" s="14" t="s">
        <v>1434</v>
      </c>
      <c r="J867" s="49">
        <f>500*12*26</f>
        <v>156000</v>
      </c>
      <c r="K867" s="13" t="s">
        <v>22</v>
      </c>
      <c r="L867" s="22">
        <v>70200000</v>
      </c>
      <c r="M867" s="46"/>
      <c r="N867" s="17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</row>
    <row r="868" spans="1:67" s="3" customFormat="1" x14ac:dyDescent="0.2">
      <c r="A868" s="14" t="s">
        <v>2986</v>
      </c>
      <c r="B868" s="14" t="s">
        <v>18</v>
      </c>
      <c r="C868" s="14">
        <v>2025</v>
      </c>
      <c r="D868" s="14" t="str">
        <f t="array" ref="D868">_xlfn.SWITCH(E868,"Jatikalen","35.18.20","Kertosono", "35.18.08","Lengkong","35.18.19","Loceret","35.18.04","Tanjunganom","35.18.11","Wilangan","35.18.15")</f>
        <v>35.18.11</v>
      </c>
      <c r="E868" s="13" t="s">
        <v>27</v>
      </c>
      <c r="F868" s="25" t="s">
        <v>1427</v>
      </c>
      <c r="G868" s="25" t="s">
        <v>1593</v>
      </c>
      <c r="H868" s="13" t="s">
        <v>9</v>
      </c>
      <c r="I868" s="14" t="s">
        <v>1434</v>
      </c>
      <c r="J868" s="49">
        <f>350*12*26</f>
        <v>109200</v>
      </c>
      <c r="K868" s="13" t="s">
        <v>22</v>
      </c>
      <c r="L868" s="22">
        <v>49140000</v>
      </c>
      <c r="M868" s="46"/>
      <c r="N868" s="17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</row>
    <row r="869" spans="1:67" s="3" customFormat="1" x14ac:dyDescent="0.2">
      <c r="A869" s="14" t="s">
        <v>2986</v>
      </c>
      <c r="B869" s="14" t="s">
        <v>18</v>
      </c>
      <c r="C869" s="14">
        <v>2025</v>
      </c>
      <c r="D869" s="14" t="str">
        <f t="array" ref="D869">_xlfn.SWITCH(E869,"Jatikalen","35.18.20","Kertosono", "35.18.08","Lengkong","35.18.19","Loceret","35.18.04","Tanjunganom","35.18.11","Wilangan","35.18.15")</f>
        <v>35.18.11</v>
      </c>
      <c r="E869" s="13" t="s">
        <v>27</v>
      </c>
      <c r="F869" s="25" t="s">
        <v>1427</v>
      </c>
      <c r="G869" s="25" t="s">
        <v>1594</v>
      </c>
      <c r="H869" s="13" t="s">
        <v>9</v>
      </c>
      <c r="I869" s="14" t="s">
        <v>1434</v>
      </c>
      <c r="J869" s="49">
        <f>350*12*26</f>
        <v>109200</v>
      </c>
      <c r="K869" s="13" t="s">
        <v>22</v>
      </c>
      <c r="L869" s="22">
        <v>51324000</v>
      </c>
      <c r="M869" s="46"/>
      <c r="N869" s="17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</row>
    <row r="870" spans="1:67" s="3" customFormat="1" x14ac:dyDescent="0.2">
      <c r="A870" s="14" t="s">
        <v>2986</v>
      </c>
      <c r="B870" s="14" t="s">
        <v>18</v>
      </c>
      <c r="C870" s="14">
        <v>2025</v>
      </c>
      <c r="D870" s="14" t="str">
        <f t="array" ref="D870">_xlfn.SWITCH(E870,"Jatikalen","35.18.20","Kertosono", "35.18.08","Lengkong","35.18.19","Loceret","35.18.04","Tanjunganom","35.18.11","Wilangan","35.18.15")</f>
        <v>35.18.11</v>
      </c>
      <c r="E870" s="13" t="s">
        <v>27</v>
      </c>
      <c r="F870" s="25" t="s">
        <v>1427</v>
      </c>
      <c r="G870" s="25" t="s">
        <v>1595</v>
      </c>
      <c r="H870" s="13" t="s">
        <v>9</v>
      </c>
      <c r="I870" s="14" t="s">
        <v>1434</v>
      </c>
      <c r="J870" s="49">
        <f>1000*12*26</f>
        <v>312000</v>
      </c>
      <c r="K870" s="13" t="s">
        <v>22</v>
      </c>
      <c r="L870" s="22">
        <v>146640000</v>
      </c>
      <c r="M870" s="46"/>
      <c r="N870" s="17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</row>
    <row r="871" spans="1:67" s="3" customFormat="1" x14ac:dyDescent="0.2">
      <c r="A871" s="14" t="s">
        <v>2986</v>
      </c>
      <c r="B871" s="14" t="s">
        <v>18</v>
      </c>
      <c r="C871" s="14">
        <v>2025</v>
      </c>
      <c r="D871" s="14" t="str">
        <f t="array" ref="D871">_xlfn.SWITCH(E871,"Jatikalen","35.18.20","Kertosono", "35.18.08","Lengkong","35.18.19","Loceret","35.18.04","Tanjunganom","35.18.11","Wilangan","35.18.15")</f>
        <v>35.18.11</v>
      </c>
      <c r="E871" s="13" t="s">
        <v>27</v>
      </c>
      <c r="F871" s="25" t="s">
        <v>1427</v>
      </c>
      <c r="G871" s="25" t="s">
        <v>1596</v>
      </c>
      <c r="H871" s="13" t="s">
        <v>9</v>
      </c>
      <c r="I871" s="14" t="s">
        <v>1434</v>
      </c>
      <c r="J871" s="49">
        <f>600*12*26</f>
        <v>187200</v>
      </c>
      <c r="K871" s="13" t="s">
        <v>22</v>
      </c>
      <c r="L871" s="22">
        <v>84240000</v>
      </c>
      <c r="M871" s="46"/>
      <c r="N871" s="17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</row>
    <row r="872" spans="1:67" s="3" customFormat="1" x14ac:dyDescent="0.2">
      <c r="A872" s="14" t="s">
        <v>2986</v>
      </c>
      <c r="B872" s="14" t="s">
        <v>18</v>
      </c>
      <c r="C872" s="14">
        <v>2025</v>
      </c>
      <c r="D872" s="14" t="str">
        <f t="array" ref="D872">_xlfn.SWITCH(E872,"Jatikalen","35.18.20","Kertosono", "35.18.08","Lengkong","35.18.19","Loceret","35.18.04","Tanjunganom","35.18.11","Wilangan","35.18.15")</f>
        <v>35.18.11</v>
      </c>
      <c r="E872" s="13" t="s">
        <v>27</v>
      </c>
      <c r="F872" s="25" t="s">
        <v>1427</v>
      </c>
      <c r="G872" s="25" t="s">
        <v>1597</v>
      </c>
      <c r="H872" s="13" t="s">
        <v>9</v>
      </c>
      <c r="I872" s="14" t="s">
        <v>1434</v>
      </c>
      <c r="J872" s="49">
        <f>350*12*26</f>
        <v>109200</v>
      </c>
      <c r="K872" s="13" t="s">
        <v>22</v>
      </c>
      <c r="L872" s="22">
        <v>49140000</v>
      </c>
      <c r="M872" s="46"/>
      <c r="N872" s="17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</row>
    <row r="873" spans="1:67" s="3" customFormat="1" x14ac:dyDescent="0.2">
      <c r="A873" s="14" t="s">
        <v>2986</v>
      </c>
      <c r="B873" s="14" t="s">
        <v>18</v>
      </c>
      <c r="C873" s="14">
        <v>2025</v>
      </c>
      <c r="D873" s="14" t="str">
        <f t="array" ref="D873">_xlfn.SWITCH(E873,"Jatikalen","35.18.20","Kertosono", "35.18.08","Lengkong","35.18.19","Loceret","35.18.04","Tanjunganom","35.18.11","Wilangan","35.18.15")</f>
        <v>35.18.11</v>
      </c>
      <c r="E873" s="13" t="s">
        <v>27</v>
      </c>
      <c r="F873" s="25" t="s">
        <v>1427</v>
      </c>
      <c r="G873" s="25" t="s">
        <v>1087</v>
      </c>
      <c r="H873" s="13" t="s">
        <v>9</v>
      </c>
      <c r="I873" s="14" t="s">
        <v>1434</v>
      </c>
      <c r="J873" s="49">
        <f>500*12*26</f>
        <v>156000</v>
      </c>
      <c r="K873" s="13" t="s">
        <v>22</v>
      </c>
      <c r="L873" s="22">
        <v>62400000</v>
      </c>
      <c r="M873" s="46"/>
      <c r="N873" s="17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</row>
    <row r="874" spans="1:67" s="3" customFormat="1" x14ac:dyDescent="0.2">
      <c r="A874" s="14" t="s">
        <v>2986</v>
      </c>
      <c r="B874" s="14" t="s">
        <v>18</v>
      </c>
      <c r="C874" s="14">
        <v>2025</v>
      </c>
      <c r="D874" s="14" t="str">
        <f t="array" ref="D874">_xlfn.SWITCH(E874,"Jatikalen","35.18.20","Kertosono", "35.18.08","Lengkong","35.18.19","Loceret","35.18.04","Tanjunganom","35.18.11","Wilangan","35.18.15")</f>
        <v>35.18.11</v>
      </c>
      <c r="E874" s="13" t="s">
        <v>27</v>
      </c>
      <c r="F874" s="25" t="s">
        <v>1427</v>
      </c>
      <c r="G874" s="25" t="s">
        <v>1598</v>
      </c>
      <c r="H874" s="13" t="s">
        <v>9</v>
      </c>
      <c r="I874" s="14" t="s">
        <v>1434</v>
      </c>
      <c r="J874" s="49">
        <f>500*12*26</f>
        <v>156000</v>
      </c>
      <c r="K874" s="13" t="s">
        <v>22</v>
      </c>
      <c r="L874" s="22">
        <v>78000000</v>
      </c>
      <c r="M874" s="46"/>
      <c r="N874" s="17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</row>
    <row r="875" spans="1:67" s="3" customFormat="1" x14ac:dyDescent="0.2">
      <c r="A875" s="14" t="s">
        <v>2986</v>
      </c>
      <c r="B875" s="14" t="s">
        <v>18</v>
      </c>
      <c r="C875" s="14">
        <v>2025</v>
      </c>
      <c r="D875" s="14" t="str">
        <f t="array" ref="D875">_xlfn.SWITCH(E875,"Jatikalen","35.18.20","Kertosono", "35.18.08","Lengkong","35.18.19","Loceret","35.18.04","Tanjunganom","35.18.11","Wilangan","35.18.15")</f>
        <v>35.18.11</v>
      </c>
      <c r="E875" s="13" t="s">
        <v>27</v>
      </c>
      <c r="F875" s="25" t="s">
        <v>1427</v>
      </c>
      <c r="G875" s="25" t="s">
        <v>1599</v>
      </c>
      <c r="H875" s="13" t="s">
        <v>9</v>
      </c>
      <c r="I875" s="14" t="s">
        <v>1434</v>
      </c>
      <c r="J875" s="49">
        <f>350*12*26</f>
        <v>109200</v>
      </c>
      <c r="K875" s="13" t="s">
        <v>22</v>
      </c>
      <c r="L875" s="22">
        <v>56784000</v>
      </c>
      <c r="M875" s="46"/>
      <c r="N875" s="17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</row>
    <row r="876" spans="1:67" s="3" customFormat="1" x14ac:dyDescent="0.2">
      <c r="A876" s="14" t="s">
        <v>2986</v>
      </c>
      <c r="B876" s="14" t="s">
        <v>18</v>
      </c>
      <c r="C876" s="14">
        <v>2025</v>
      </c>
      <c r="D876" s="14" t="str">
        <f t="array" ref="D876">_xlfn.SWITCH(E876,"Jatikalen","35.18.20","Kertosono", "35.18.08","Lengkong","35.18.19","Loceret","35.18.04","Tanjunganom","35.18.11","Wilangan","35.18.15")</f>
        <v>35.18.11</v>
      </c>
      <c r="E876" s="13" t="s">
        <v>27</v>
      </c>
      <c r="F876" s="25" t="s">
        <v>1427</v>
      </c>
      <c r="G876" s="25" t="s">
        <v>1600</v>
      </c>
      <c r="H876" s="13" t="s">
        <v>9</v>
      </c>
      <c r="I876" s="14" t="s">
        <v>1434</v>
      </c>
      <c r="J876" s="49">
        <f>400*12*10</f>
        <v>48000</v>
      </c>
      <c r="K876" s="13" t="s">
        <v>22</v>
      </c>
      <c r="L876" s="22">
        <v>20640000</v>
      </c>
      <c r="M876" s="46"/>
      <c r="N876" s="17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</row>
    <row r="877" spans="1:67" s="3" customFormat="1" x14ac:dyDescent="0.2">
      <c r="A877" s="14" t="s">
        <v>2986</v>
      </c>
      <c r="B877" s="14" t="s">
        <v>18</v>
      </c>
      <c r="C877" s="14">
        <v>2025</v>
      </c>
      <c r="D877" s="14" t="str">
        <f t="array" ref="D877">_xlfn.SWITCH(E877,"Jatikalen","35.18.20","Kertosono", "35.18.08","Lengkong","35.18.19","Loceret","35.18.04","Tanjunganom","35.18.11","Wilangan","35.18.15")</f>
        <v>35.18.11</v>
      </c>
      <c r="E877" s="13" t="s">
        <v>27</v>
      </c>
      <c r="F877" s="25" t="s">
        <v>1427</v>
      </c>
      <c r="G877" s="25" t="s">
        <v>1601</v>
      </c>
      <c r="H877" s="13" t="s">
        <v>9</v>
      </c>
      <c r="I877" s="14" t="s">
        <v>1434</v>
      </c>
      <c r="J877" s="49">
        <f>350*12*26</f>
        <v>109200</v>
      </c>
      <c r="K877" s="13" t="s">
        <v>22</v>
      </c>
      <c r="L877" s="22">
        <v>43680000</v>
      </c>
      <c r="M877" s="46"/>
      <c r="N877" s="17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</row>
    <row r="878" spans="1:67" s="3" customFormat="1" x14ac:dyDescent="0.2">
      <c r="A878" s="14" t="s">
        <v>2986</v>
      </c>
      <c r="B878" s="14" t="s">
        <v>18</v>
      </c>
      <c r="C878" s="14">
        <v>2025</v>
      </c>
      <c r="D878" s="14" t="str">
        <f t="array" ref="D878">_xlfn.SWITCH(E878,"Jatikalen","35.18.20","Kertosono", "35.18.08","Lengkong","35.18.19","Loceret","35.18.04","Tanjunganom","35.18.11","Wilangan","35.18.15")</f>
        <v>35.18.11</v>
      </c>
      <c r="E878" s="13" t="s">
        <v>27</v>
      </c>
      <c r="F878" s="25" t="s">
        <v>1427</v>
      </c>
      <c r="G878" s="25" t="s">
        <v>1276</v>
      </c>
      <c r="H878" s="13" t="s">
        <v>9</v>
      </c>
      <c r="I878" s="14" t="s">
        <v>1434</v>
      </c>
      <c r="J878" s="49">
        <f>500*12*26</f>
        <v>156000</v>
      </c>
      <c r="K878" s="13" t="s">
        <v>22</v>
      </c>
      <c r="L878" s="22">
        <v>65520000</v>
      </c>
      <c r="M878" s="46"/>
      <c r="N878" s="17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</row>
    <row r="879" spans="1:67" s="3" customFormat="1" x14ac:dyDescent="0.2">
      <c r="A879" s="14" t="s">
        <v>2986</v>
      </c>
      <c r="B879" s="14" t="s">
        <v>18</v>
      </c>
      <c r="C879" s="14">
        <v>2025</v>
      </c>
      <c r="D879" s="14" t="str">
        <f t="array" ref="D879">_xlfn.SWITCH(E879,"Jatikalen","35.18.20","Kertosono", "35.18.08","Lengkong","35.18.19","Loceret","35.18.04","Tanjunganom","35.18.11","Wilangan","35.18.15")</f>
        <v>35.18.11</v>
      </c>
      <c r="E879" s="13" t="s">
        <v>27</v>
      </c>
      <c r="F879" s="25" t="s">
        <v>1427</v>
      </c>
      <c r="G879" s="25" t="s">
        <v>1602</v>
      </c>
      <c r="H879" s="13" t="s">
        <v>9</v>
      </c>
      <c r="I879" s="14" t="s">
        <v>1434</v>
      </c>
      <c r="J879" s="49">
        <f>500*26*12</f>
        <v>156000</v>
      </c>
      <c r="K879" s="13" t="s">
        <v>22</v>
      </c>
      <c r="L879" s="22">
        <v>54600000</v>
      </c>
      <c r="M879" s="46"/>
      <c r="N879" s="17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</row>
    <row r="880" spans="1:67" s="3" customFormat="1" x14ac:dyDescent="0.2">
      <c r="A880" s="14" t="s">
        <v>2986</v>
      </c>
      <c r="B880" s="14" t="s">
        <v>18</v>
      </c>
      <c r="C880" s="14">
        <v>2025</v>
      </c>
      <c r="D880" s="14" t="str">
        <f t="array" ref="D880">_xlfn.SWITCH(E880,"Jatikalen","35.18.20","Kertosono", "35.18.08","Lengkong","35.18.19","Loceret","35.18.04","Tanjunganom","35.18.11","Wilangan","35.18.15")</f>
        <v>35.18.11</v>
      </c>
      <c r="E880" s="13" t="s">
        <v>27</v>
      </c>
      <c r="F880" s="25" t="s">
        <v>1427</v>
      </c>
      <c r="G880" s="25" t="s">
        <v>1297</v>
      </c>
      <c r="H880" s="13" t="s">
        <v>9</v>
      </c>
      <c r="I880" s="14" t="s">
        <v>1434</v>
      </c>
      <c r="J880" s="49">
        <f>300*26*12</f>
        <v>93600</v>
      </c>
      <c r="K880" s="13" t="s">
        <v>22</v>
      </c>
      <c r="L880" s="22">
        <v>14976000</v>
      </c>
      <c r="M880" s="46"/>
      <c r="N880" s="17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</row>
    <row r="881" spans="1:67" s="3" customFormat="1" x14ac:dyDescent="0.2">
      <c r="A881" s="14" t="s">
        <v>2986</v>
      </c>
      <c r="B881" s="14" t="s">
        <v>18</v>
      </c>
      <c r="C881" s="14">
        <v>2025</v>
      </c>
      <c r="D881" s="14" t="str">
        <f t="array" ref="D881">_xlfn.SWITCH(E881,"Jatikalen","35.18.20","Kertosono", "35.18.08","Lengkong","35.18.19","Loceret","35.18.04","Tanjunganom","35.18.11","Wilangan","35.18.15")</f>
        <v>35.18.11</v>
      </c>
      <c r="E881" s="13" t="s">
        <v>27</v>
      </c>
      <c r="F881" s="25" t="s">
        <v>1427</v>
      </c>
      <c r="G881" s="25" t="s">
        <v>1494</v>
      </c>
      <c r="H881" s="13" t="s">
        <v>9</v>
      </c>
      <c r="I881" s="14" t="s">
        <v>1434</v>
      </c>
      <c r="J881" s="49">
        <f>500*26*12</f>
        <v>156000</v>
      </c>
      <c r="K881" s="13" t="s">
        <v>22</v>
      </c>
      <c r="L881" s="22">
        <v>65520000</v>
      </c>
      <c r="M881" s="46"/>
      <c r="N881" s="17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</row>
    <row r="882" spans="1:67" s="3" customFormat="1" x14ac:dyDescent="0.2">
      <c r="A882" s="14" t="s">
        <v>2986</v>
      </c>
      <c r="B882" s="14" t="s">
        <v>18</v>
      </c>
      <c r="C882" s="14">
        <v>2025</v>
      </c>
      <c r="D882" s="14" t="str">
        <f t="array" ref="D882">_xlfn.SWITCH(E882,"Jatikalen","35.18.20","Kertosono", "35.18.08","Lengkong","35.18.19","Loceret","35.18.04","Tanjunganom","35.18.11","Wilangan","35.18.15")</f>
        <v>35.18.11</v>
      </c>
      <c r="E882" s="13" t="s">
        <v>27</v>
      </c>
      <c r="F882" s="25" t="s">
        <v>1427</v>
      </c>
      <c r="G882" s="25" t="s">
        <v>1603</v>
      </c>
      <c r="H882" s="13" t="s">
        <v>9</v>
      </c>
      <c r="I882" s="14" t="s">
        <v>1434</v>
      </c>
      <c r="J882" s="49">
        <f>700*12*26</f>
        <v>218400</v>
      </c>
      <c r="K882" s="13" t="s">
        <v>22</v>
      </c>
      <c r="L882" s="22">
        <v>109200000</v>
      </c>
      <c r="M882" s="46"/>
      <c r="N882" s="17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</row>
    <row r="883" spans="1:67" s="3" customFormat="1" x14ac:dyDescent="0.2">
      <c r="A883" s="14" t="s">
        <v>2986</v>
      </c>
      <c r="B883" s="14" t="s">
        <v>18</v>
      </c>
      <c r="C883" s="14">
        <v>2025</v>
      </c>
      <c r="D883" s="14" t="str">
        <f t="array" ref="D883">_xlfn.SWITCH(E883,"Jatikalen","35.18.20","Kertosono", "35.18.08","Lengkong","35.18.19","Loceret","35.18.04","Tanjunganom","35.18.11","Wilangan","35.18.15")</f>
        <v>35.18.11</v>
      </c>
      <c r="E883" s="13" t="s">
        <v>27</v>
      </c>
      <c r="F883" s="25" t="s">
        <v>1427</v>
      </c>
      <c r="G883" s="25" t="s">
        <v>1207</v>
      </c>
      <c r="H883" s="13" t="s">
        <v>9</v>
      </c>
      <c r="I883" s="14" t="s">
        <v>1434</v>
      </c>
      <c r="J883" s="49">
        <f>1000*26*12</f>
        <v>312000</v>
      </c>
      <c r="K883" s="13" t="s">
        <v>22</v>
      </c>
      <c r="L883" s="22">
        <v>156000000</v>
      </c>
      <c r="M883" s="46"/>
      <c r="N883" s="17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</row>
    <row r="884" spans="1:67" s="3" customFormat="1" x14ac:dyDescent="0.2">
      <c r="A884" s="14" t="s">
        <v>2986</v>
      </c>
      <c r="B884" s="14" t="s">
        <v>18</v>
      </c>
      <c r="C884" s="14">
        <v>2025</v>
      </c>
      <c r="D884" s="14" t="str">
        <f t="array" ref="D884">_xlfn.SWITCH(E884,"Jatikalen","35.18.20","Kertosono", "35.18.08","Lengkong","35.18.19","Loceret","35.18.04","Tanjunganom","35.18.11","Wilangan","35.18.15")</f>
        <v>35.18.11</v>
      </c>
      <c r="E884" s="13" t="s">
        <v>27</v>
      </c>
      <c r="F884" s="25" t="s">
        <v>1427</v>
      </c>
      <c r="G884" s="25" t="s">
        <v>1604</v>
      </c>
      <c r="H884" s="13" t="s">
        <v>9</v>
      </c>
      <c r="I884" s="14" t="s">
        <v>1434</v>
      </c>
      <c r="J884" s="49">
        <f>500*12*13</f>
        <v>78000</v>
      </c>
      <c r="K884" s="13" t="s">
        <v>22</v>
      </c>
      <c r="L884" s="22">
        <v>40950000</v>
      </c>
      <c r="M884" s="46"/>
      <c r="N884" s="17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</row>
    <row r="885" spans="1:67" s="3" customFormat="1" x14ac:dyDescent="0.2">
      <c r="A885" s="14" t="s">
        <v>2986</v>
      </c>
      <c r="B885" s="14" t="s">
        <v>18</v>
      </c>
      <c r="C885" s="14">
        <v>2025</v>
      </c>
      <c r="D885" s="14" t="str">
        <f t="array" ref="D885">_xlfn.SWITCH(E885,"Jatikalen","35.18.20","Kertosono", "35.18.08","Lengkong","35.18.19","Loceret","35.18.04","Tanjunganom","35.18.11","Wilangan","35.18.15")</f>
        <v>35.18.11</v>
      </c>
      <c r="E885" s="13" t="s">
        <v>27</v>
      </c>
      <c r="F885" s="25" t="s">
        <v>1427</v>
      </c>
      <c r="G885" s="25" t="s">
        <v>1605</v>
      </c>
      <c r="H885" s="13" t="s">
        <v>9</v>
      </c>
      <c r="I885" s="14" t="s">
        <v>1434</v>
      </c>
      <c r="J885" s="49">
        <f>700*12*26</f>
        <v>218400</v>
      </c>
      <c r="K885" s="13" t="s">
        <v>22</v>
      </c>
      <c r="L885" s="22">
        <v>98280000</v>
      </c>
      <c r="M885" s="46"/>
      <c r="N885" s="17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</row>
    <row r="886" spans="1:67" s="3" customFormat="1" x14ac:dyDescent="0.2">
      <c r="A886" s="14" t="s">
        <v>2986</v>
      </c>
      <c r="B886" s="14" t="s">
        <v>18</v>
      </c>
      <c r="C886" s="14">
        <v>2025</v>
      </c>
      <c r="D886" s="14" t="str">
        <f t="array" ref="D886">_xlfn.SWITCH(E886,"Jatikalen","35.18.20","Kertosono", "35.18.08","Lengkong","35.18.19","Loceret","35.18.04","Tanjunganom","35.18.11","Wilangan","35.18.15")</f>
        <v>35.18.08</v>
      </c>
      <c r="E886" s="13" t="s">
        <v>75</v>
      </c>
      <c r="F886" s="25" t="s">
        <v>1606</v>
      </c>
      <c r="G886" s="25" t="s">
        <v>1607</v>
      </c>
      <c r="H886" s="13" t="s">
        <v>9</v>
      </c>
      <c r="I886" s="14" t="s">
        <v>1608</v>
      </c>
      <c r="J886" s="49">
        <v>20</v>
      </c>
      <c r="K886" s="13" t="s">
        <v>730</v>
      </c>
      <c r="L886" s="22">
        <v>20000000</v>
      </c>
      <c r="M886" s="46"/>
      <c r="N886" s="17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</row>
    <row r="887" spans="1:67" s="3" customFormat="1" x14ac:dyDescent="0.2">
      <c r="A887" s="14" t="s">
        <v>2986</v>
      </c>
      <c r="B887" s="14" t="s">
        <v>18</v>
      </c>
      <c r="C887" s="14">
        <v>2025</v>
      </c>
      <c r="D887" s="14" t="str">
        <f t="array" ref="D887">_xlfn.SWITCH(E887,"Bagor","35.18.14","Sukomoro",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87" s="13" t="s">
        <v>102</v>
      </c>
      <c r="F887" s="25" t="s">
        <v>1609</v>
      </c>
      <c r="G887" s="25" t="s">
        <v>1610</v>
      </c>
      <c r="H887" s="13" t="s">
        <v>9</v>
      </c>
      <c r="I887" s="14" t="s">
        <v>993</v>
      </c>
      <c r="J887" s="49">
        <v>2750</v>
      </c>
      <c r="K887" s="13" t="s">
        <v>994</v>
      </c>
      <c r="L887" s="22">
        <f>J887*350000</f>
        <v>962500000</v>
      </c>
      <c r="M887" s="46"/>
      <c r="N887" s="17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</row>
    <row r="888" spans="1:67" s="3" customFormat="1" x14ac:dyDescent="0.2">
      <c r="A888" s="14" t="s">
        <v>2986</v>
      </c>
      <c r="B888" s="14" t="s">
        <v>18</v>
      </c>
      <c r="C888" s="14">
        <v>2025</v>
      </c>
      <c r="D888" s="14" t="str">
        <f t="array" ref="D888">_xlfn.SWITCH(E888,"Bagor","35.18.14","Sukomoro",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88" s="13" t="s">
        <v>7</v>
      </c>
      <c r="F888" s="25" t="s">
        <v>1611</v>
      </c>
      <c r="G888" s="25" t="s">
        <v>1612</v>
      </c>
      <c r="H888" s="13" t="s">
        <v>9</v>
      </c>
      <c r="I888" s="14" t="s">
        <v>993</v>
      </c>
      <c r="J888" s="49">
        <v>1500</v>
      </c>
      <c r="K888" s="13" t="s">
        <v>994</v>
      </c>
      <c r="L888" s="22">
        <f>J888*350000</f>
        <v>525000000</v>
      </c>
      <c r="M888" s="46"/>
      <c r="N888" s="17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</row>
    <row r="889" spans="1:67" s="3" customFormat="1" x14ac:dyDescent="0.2">
      <c r="A889" s="14" t="s">
        <v>2986</v>
      </c>
      <c r="B889" s="14" t="s">
        <v>18</v>
      </c>
      <c r="C889" s="14">
        <v>2025</v>
      </c>
      <c r="D889" s="14" t="str">
        <f t="array" ref="D889">_xlfn.SWITCH(E889,"Jatikalen","35.18.20","Kertosono", "35.18.08","Lengkong","35.18.19","Loceret","35.18.04","Tanjunganom","35.18.11","Wilangan","35.18.15")</f>
        <v>35.18.08</v>
      </c>
      <c r="E889" s="13" t="s">
        <v>75</v>
      </c>
      <c r="F889" s="25" t="s">
        <v>1613</v>
      </c>
      <c r="G889" s="25" t="s">
        <v>1614</v>
      </c>
      <c r="H889" s="13" t="s">
        <v>9</v>
      </c>
      <c r="I889" s="14" t="s">
        <v>1288</v>
      </c>
      <c r="J889" s="49">
        <v>32000</v>
      </c>
      <c r="K889" s="13" t="s">
        <v>700</v>
      </c>
      <c r="L889" s="22">
        <v>25600000</v>
      </c>
      <c r="M889" s="46"/>
      <c r="N889" s="17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</row>
    <row r="890" spans="1:67" s="3" customFormat="1" ht="20" x14ac:dyDescent="0.2">
      <c r="A890" s="14" t="s">
        <v>2986</v>
      </c>
      <c r="B890" s="14" t="s">
        <v>18</v>
      </c>
      <c r="C890" s="14">
        <v>2025</v>
      </c>
      <c r="D890" s="14" t="str">
        <f t="array" ref="D890">_xlfn.SWITCH(E890,"Bagor","35.18.14","Sukomoro",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0" s="13" t="s">
        <v>7</v>
      </c>
      <c r="F890" s="25" t="s">
        <v>1615</v>
      </c>
      <c r="G890" s="25" t="s">
        <v>1616</v>
      </c>
      <c r="H890" s="13" t="s">
        <v>9</v>
      </c>
      <c r="I890" s="14" t="s">
        <v>1510</v>
      </c>
      <c r="J890" s="49">
        <v>1200</v>
      </c>
      <c r="K890" s="13" t="s">
        <v>22</v>
      </c>
      <c r="L890" s="22">
        <v>90000000</v>
      </c>
      <c r="M890" s="46"/>
      <c r="N890" s="17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</row>
    <row r="891" spans="1:67" s="3" customFormat="1" ht="20" x14ac:dyDescent="0.2">
      <c r="A891" s="14" t="s">
        <v>2986</v>
      </c>
      <c r="B891" s="14" t="s">
        <v>18</v>
      </c>
      <c r="C891" s="14">
        <v>2025</v>
      </c>
      <c r="D891" s="14" t="str">
        <f t="array" ref="D891">_xlfn.SWITCH(E891,"Bagor","35.18.14","Sukomoro",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1" s="13" t="s">
        <v>7</v>
      </c>
      <c r="F891" s="25" t="s">
        <v>1615</v>
      </c>
      <c r="G891" s="25" t="s">
        <v>1617</v>
      </c>
      <c r="H891" s="13" t="s">
        <v>9</v>
      </c>
      <c r="I891" s="14" t="s">
        <v>1510</v>
      </c>
      <c r="J891" s="49">
        <v>1000</v>
      </c>
      <c r="K891" s="13" t="s">
        <v>22</v>
      </c>
      <c r="L891" s="22">
        <v>75000000</v>
      </c>
      <c r="M891" s="46"/>
      <c r="N891" s="17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</row>
    <row r="892" spans="1:67" s="3" customFormat="1" ht="20" x14ac:dyDescent="0.2">
      <c r="A892" s="14" t="s">
        <v>2986</v>
      </c>
      <c r="B892" s="14" t="s">
        <v>18</v>
      </c>
      <c r="C892" s="14">
        <v>2025</v>
      </c>
      <c r="D892" s="14" t="str">
        <f t="array" ref="D892">_xlfn.SWITCH(E892,"Bagor","35.18.14","Sukomoro",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2" s="13" t="s">
        <v>7</v>
      </c>
      <c r="F892" s="25" t="s">
        <v>1615</v>
      </c>
      <c r="G892" s="25" t="s">
        <v>1618</v>
      </c>
      <c r="H892" s="13" t="s">
        <v>9</v>
      </c>
      <c r="I892" s="14" t="s">
        <v>1510</v>
      </c>
      <c r="J892" s="49">
        <v>750</v>
      </c>
      <c r="K892" s="13" t="s">
        <v>22</v>
      </c>
      <c r="L892" s="22">
        <v>56250000</v>
      </c>
      <c r="M892" s="46"/>
      <c r="N892" s="17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</row>
    <row r="893" spans="1:67" s="3" customFormat="1" ht="20" x14ac:dyDescent="0.2">
      <c r="A893" s="14" t="s">
        <v>2986</v>
      </c>
      <c r="B893" s="14" t="s">
        <v>18</v>
      </c>
      <c r="C893" s="14">
        <v>2025</v>
      </c>
      <c r="D893" s="14" t="str">
        <f t="array" ref="D893">_xlfn.SWITCH(E893,"Jatikalen","35.18.20","Kertosono", "35.18.08","Lengkong","35.18.19","Loceret","35.18.04","Tanjunganom","35.18.11","Wilangan","35.18.15")</f>
        <v>35.18.04</v>
      </c>
      <c r="E893" s="13" t="s">
        <v>15</v>
      </c>
      <c r="F893" s="25" t="s">
        <v>1619</v>
      </c>
      <c r="G893" s="25" t="s">
        <v>1620</v>
      </c>
      <c r="H893" s="13" t="s">
        <v>9</v>
      </c>
      <c r="I893" s="14" t="s">
        <v>823</v>
      </c>
      <c r="J893" s="49">
        <v>1.05</v>
      </c>
      <c r="K893" s="13" t="s">
        <v>45</v>
      </c>
      <c r="L893" s="22">
        <v>15750000</v>
      </c>
      <c r="M893" s="46"/>
      <c r="N893" s="17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</row>
    <row r="894" spans="1:67" s="3" customFormat="1" ht="20" x14ac:dyDescent="0.2">
      <c r="A894" s="14" t="s">
        <v>2986</v>
      </c>
      <c r="B894" s="14" t="s">
        <v>18</v>
      </c>
      <c r="C894" s="14">
        <v>2025</v>
      </c>
      <c r="D894" s="14" t="str">
        <f t="array" ref="D894">_xlfn.SWITCH(E894,"Jatikalen","35.18.20","Kertosono", "35.18.08","Lengkong","35.18.19","Loceret","35.18.04","Tanjunganom","35.18.11","Wilangan","35.18.15")</f>
        <v>35.18.04</v>
      </c>
      <c r="E894" s="13" t="s">
        <v>15</v>
      </c>
      <c r="F894" s="25" t="s">
        <v>1619</v>
      </c>
      <c r="G894" s="25" t="s">
        <v>1621</v>
      </c>
      <c r="H894" s="13" t="s">
        <v>9</v>
      </c>
      <c r="I894" s="14" t="s">
        <v>823</v>
      </c>
      <c r="J894" s="34" t="s">
        <v>536</v>
      </c>
      <c r="K894" s="13" t="s">
        <v>730</v>
      </c>
      <c r="L894" s="22">
        <v>236250000</v>
      </c>
      <c r="M894" s="46"/>
      <c r="N894" s="17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</row>
    <row r="895" spans="1:67" s="3" customFormat="1" ht="20" x14ac:dyDescent="0.2">
      <c r="A895" s="14" t="s">
        <v>2986</v>
      </c>
      <c r="B895" s="14" t="s">
        <v>18</v>
      </c>
      <c r="C895" s="14">
        <v>2025</v>
      </c>
      <c r="D895" s="14" t="str">
        <f t="array" ref="D895">_xlfn.SWITCH(E895,"Jatikalen","35.18.20","Kertosono", "35.18.08","Lengkong","35.18.19","Loceret","35.18.04","Tanjunganom","35.18.11","Wilangan","35.18.15")</f>
        <v>35.18.04</v>
      </c>
      <c r="E895" s="13" t="s">
        <v>15</v>
      </c>
      <c r="F895" s="25" t="s">
        <v>1622</v>
      </c>
      <c r="G895" s="25" t="s">
        <v>1623</v>
      </c>
      <c r="H895" s="13" t="s">
        <v>9</v>
      </c>
      <c r="I895" s="14" t="s">
        <v>823</v>
      </c>
      <c r="J895" s="34" t="s">
        <v>528</v>
      </c>
      <c r="K895" s="13" t="s">
        <v>730</v>
      </c>
      <c r="L895" s="22">
        <v>112000000</v>
      </c>
      <c r="M895" s="46"/>
      <c r="N895" s="17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</row>
    <row r="896" spans="1:67" s="3" customFormat="1" ht="20" x14ac:dyDescent="0.2">
      <c r="A896" s="14" t="s">
        <v>2986</v>
      </c>
      <c r="B896" s="14" t="s">
        <v>18</v>
      </c>
      <c r="C896" s="14">
        <v>2025</v>
      </c>
      <c r="D896" s="14" t="str">
        <f t="array" ref="D896">_xlfn.SWITCH(E896,"Jatikalen","35.18.20","Kertosono", "35.18.08","Lengkong","35.18.19","Loceret","35.18.04","Tanjunganom","35.18.11","Wilangan","35.18.15")</f>
        <v>35.18.04</v>
      </c>
      <c r="E896" s="13" t="s">
        <v>15</v>
      </c>
      <c r="F896" s="25" t="s">
        <v>1624</v>
      </c>
      <c r="G896" s="25" t="s">
        <v>1395</v>
      </c>
      <c r="H896" s="13" t="s">
        <v>9</v>
      </c>
      <c r="I896" s="14" t="s">
        <v>823</v>
      </c>
      <c r="J896" s="34">
        <v>7</v>
      </c>
      <c r="K896" s="13" t="s">
        <v>45</v>
      </c>
      <c r="L896" s="22">
        <v>87500000</v>
      </c>
      <c r="M896" s="46"/>
      <c r="N896" s="17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</row>
    <row r="897" spans="1:67" s="3" customFormat="1" ht="20" x14ac:dyDescent="0.2">
      <c r="A897" s="14" t="s">
        <v>2986</v>
      </c>
      <c r="B897" s="14" t="s">
        <v>18</v>
      </c>
      <c r="C897" s="14">
        <v>2025</v>
      </c>
      <c r="D897" s="14" t="str">
        <f t="array" ref="D897">_xlfn.SWITCH(E897,"Jatikalen","35.18.20","Kertosono", "35.18.08","Lengkong","35.18.19","Loceret","35.18.04","Tanjunganom","35.18.11","Wilangan","35.18.15")</f>
        <v>35.18.04</v>
      </c>
      <c r="E897" s="13" t="s">
        <v>15</v>
      </c>
      <c r="F897" s="25" t="s">
        <v>1624</v>
      </c>
      <c r="G897" s="25" t="s">
        <v>1625</v>
      </c>
      <c r="H897" s="13" t="s">
        <v>9</v>
      </c>
      <c r="I897" s="14" t="s">
        <v>823</v>
      </c>
      <c r="J897" s="34">
        <v>2.19</v>
      </c>
      <c r="K897" s="13" t="s">
        <v>730</v>
      </c>
      <c r="L897" s="22">
        <v>45500000</v>
      </c>
      <c r="M897" s="46"/>
      <c r="N897" s="17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</row>
    <row r="898" spans="1:67" s="3" customFormat="1" ht="20" x14ac:dyDescent="0.2">
      <c r="A898" s="14" t="s">
        <v>2986</v>
      </c>
      <c r="B898" s="14" t="s">
        <v>18</v>
      </c>
      <c r="C898" s="14">
        <v>2025</v>
      </c>
      <c r="D898" s="14" t="str">
        <f t="array" ref="D898">_xlfn.SWITCH(E898,"Bagor","35.18.14","Sukomoro",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8" s="13" t="s">
        <v>7</v>
      </c>
      <c r="F898" s="25" t="s">
        <v>1626</v>
      </c>
      <c r="G898" s="25" t="s">
        <v>1627</v>
      </c>
      <c r="H898" s="13" t="s">
        <v>9</v>
      </c>
      <c r="I898" s="14" t="s">
        <v>1628</v>
      </c>
      <c r="J898" s="34">
        <v>185</v>
      </c>
      <c r="K898" s="13" t="s">
        <v>1015</v>
      </c>
      <c r="L898" s="22">
        <v>42000000</v>
      </c>
      <c r="M898" s="46"/>
      <c r="N898" s="17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</row>
    <row r="899" spans="1:67" s="3" customFormat="1" ht="20" x14ac:dyDescent="0.2">
      <c r="A899" s="14" t="s">
        <v>2986</v>
      </c>
      <c r="B899" s="14" t="s">
        <v>18</v>
      </c>
      <c r="C899" s="14">
        <v>2025</v>
      </c>
      <c r="D899" s="14" t="str">
        <f t="array" ref="D899">_xlfn.SWITCH(E899,"Bagor","35.18.14","Sukomoro",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9" s="13" t="s">
        <v>7</v>
      </c>
      <c r="F899" s="25" t="s">
        <v>1626</v>
      </c>
      <c r="G899" s="25" t="s">
        <v>1629</v>
      </c>
      <c r="H899" s="13" t="s">
        <v>9</v>
      </c>
      <c r="I899" s="14" t="s">
        <v>1628</v>
      </c>
      <c r="J899" s="34">
        <v>360</v>
      </c>
      <c r="K899" s="13" t="s">
        <v>1015</v>
      </c>
      <c r="L899" s="22">
        <v>31500000</v>
      </c>
      <c r="M899" s="46"/>
      <c r="N899" s="17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</row>
    <row r="900" spans="1:67" s="3" customFormat="1" ht="20" x14ac:dyDescent="0.2">
      <c r="A900" s="14" t="s">
        <v>2986</v>
      </c>
      <c r="B900" s="14" t="s">
        <v>18</v>
      </c>
      <c r="C900" s="14">
        <v>2025</v>
      </c>
      <c r="D900" s="14" t="str">
        <f t="array" ref="D900">_xlfn.SWITCH(E900,"Bagor","35.18.14","Sukomoro",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0" s="13" t="s">
        <v>7</v>
      </c>
      <c r="F900" s="25" t="s">
        <v>1626</v>
      </c>
      <c r="G900" s="25" t="s">
        <v>593</v>
      </c>
      <c r="H900" s="13" t="s">
        <v>9</v>
      </c>
      <c r="I900" s="14" t="s">
        <v>1628</v>
      </c>
      <c r="J900" s="34">
        <v>2500</v>
      </c>
      <c r="K900" s="13" t="s">
        <v>1011</v>
      </c>
      <c r="L900" s="22">
        <v>40000000</v>
      </c>
      <c r="M900" s="46"/>
      <c r="N900" s="17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</row>
    <row r="901" spans="1:67" s="3" customFormat="1" ht="20" x14ac:dyDescent="0.2">
      <c r="A901" s="14" t="s">
        <v>2986</v>
      </c>
      <c r="B901" s="14" t="s">
        <v>18</v>
      </c>
      <c r="C901" s="14">
        <v>2025</v>
      </c>
      <c r="D901" s="14" t="str">
        <f t="array" ref="D901">_xlfn.SWITCH(E901,"Bagor","35.18.14","Sukomoro",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1" s="13" t="s">
        <v>7</v>
      </c>
      <c r="F901" s="25" t="s">
        <v>1626</v>
      </c>
      <c r="G901" s="25" t="s">
        <v>699</v>
      </c>
      <c r="H901" s="13" t="s">
        <v>9</v>
      </c>
      <c r="I901" s="14" t="s">
        <v>1628</v>
      </c>
      <c r="J901" s="34">
        <v>900</v>
      </c>
      <c r="K901" s="13" t="s">
        <v>1011</v>
      </c>
      <c r="L901" s="22">
        <v>13500000</v>
      </c>
      <c r="M901" s="46"/>
      <c r="N901" s="17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</row>
    <row r="902" spans="1:67" s="3" customFormat="1" ht="20" x14ac:dyDescent="0.2">
      <c r="A902" s="14" t="s">
        <v>2986</v>
      </c>
      <c r="B902" s="14" t="s">
        <v>18</v>
      </c>
      <c r="C902" s="14">
        <v>2025</v>
      </c>
      <c r="D902" s="14" t="str">
        <f t="array" ref="D902">_xlfn.SWITCH(E902,"Bagor","35.18.14","Sukomoro",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2" s="13" t="s">
        <v>7</v>
      </c>
      <c r="F902" s="25" t="s">
        <v>1626</v>
      </c>
      <c r="G902" s="25" t="s">
        <v>1262</v>
      </c>
      <c r="H902" s="13" t="s">
        <v>9</v>
      </c>
      <c r="I902" s="14" t="s">
        <v>1628</v>
      </c>
      <c r="J902" s="34">
        <v>360</v>
      </c>
      <c r="K902" s="13" t="s">
        <v>1011</v>
      </c>
      <c r="L902" s="22">
        <v>5400000</v>
      </c>
      <c r="M902" s="46"/>
      <c r="N902" s="17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</row>
    <row r="903" spans="1:67" s="3" customFormat="1" ht="20" x14ac:dyDescent="0.2">
      <c r="A903" s="14" t="s">
        <v>2986</v>
      </c>
      <c r="B903" s="14" t="s">
        <v>18</v>
      </c>
      <c r="C903" s="14">
        <v>2025</v>
      </c>
      <c r="D903" s="14" t="str">
        <f t="array" ref="D903">_xlfn.SWITCH(E903,"Bagor","35.18.14","Sukomoro",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3" s="13" t="s">
        <v>57</v>
      </c>
      <c r="F903" s="25" t="s">
        <v>1630</v>
      </c>
      <c r="G903" s="25" t="s">
        <v>1631</v>
      </c>
      <c r="H903" s="13" t="s">
        <v>9</v>
      </c>
      <c r="I903" s="14" t="s">
        <v>1632</v>
      </c>
      <c r="J903" s="34">
        <v>4080</v>
      </c>
      <c r="K903" s="13" t="s">
        <v>1015</v>
      </c>
      <c r="L903" s="22">
        <v>13200000</v>
      </c>
      <c r="M903" s="46"/>
      <c r="N903" s="17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</row>
    <row r="904" spans="1:67" s="3" customFormat="1" ht="20" x14ac:dyDescent="0.2">
      <c r="A904" s="14" t="s">
        <v>2986</v>
      </c>
      <c r="B904" s="14" t="s">
        <v>18</v>
      </c>
      <c r="C904" s="14">
        <v>2025</v>
      </c>
      <c r="D904" s="14" t="str">
        <f t="array" ref="D904">_xlfn.SWITCH(E904,"Bagor","35.18.14","Sukomoro",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4" s="13" t="s">
        <v>57</v>
      </c>
      <c r="F904" s="25" t="s">
        <v>1630</v>
      </c>
      <c r="G904" s="25" t="s">
        <v>1633</v>
      </c>
      <c r="H904" s="13" t="s">
        <v>9</v>
      </c>
      <c r="I904" s="14" t="s">
        <v>1632</v>
      </c>
      <c r="J904" s="34">
        <v>2376</v>
      </c>
      <c r="K904" s="13" t="s">
        <v>1015</v>
      </c>
      <c r="L904" s="22">
        <v>10260000</v>
      </c>
      <c r="M904" s="46"/>
      <c r="N904" s="17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</row>
    <row r="905" spans="1:67" s="3" customFormat="1" ht="20" x14ac:dyDescent="0.2">
      <c r="A905" s="14" t="s">
        <v>2986</v>
      </c>
      <c r="B905" s="14" t="s">
        <v>18</v>
      </c>
      <c r="C905" s="14">
        <v>2025</v>
      </c>
      <c r="D905" s="14" t="str">
        <f t="array" ref="D905">_xlfn.SWITCH(E905,"Bagor","35.18.14","Sukomoro",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5" s="13" t="s">
        <v>7</v>
      </c>
      <c r="F905" s="25" t="s">
        <v>1634</v>
      </c>
      <c r="G905" s="25" t="s">
        <v>1635</v>
      </c>
      <c r="H905" s="13" t="s">
        <v>20</v>
      </c>
      <c r="I905" s="14" t="s">
        <v>1636</v>
      </c>
      <c r="J905" s="34">
        <v>100</v>
      </c>
      <c r="K905" s="13" t="s">
        <v>1637</v>
      </c>
      <c r="L905" s="22">
        <v>300000000</v>
      </c>
      <c r="M905" s="46"/>
      <c r="N905" s="17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</row>
    <row r="906" spans="1:67" s="3" customFormat="1" ht="20" x14ac:dyDescent="0.2">
      <c r="A906" s="14" t="s">
        <v>2986</v>
      </c>
      <c r="B906" s="14" t="s">
        <v>18</v>
      </c>
      <c r="C906" s="14">
        <v>2025</v>
      </c>
      <c r="D906" s="14" t="str">
        <f t="array" ref="D906">_xlfn.SWITCH(E906,"Jatikalen","35.18.20","Kertosono", "35.18.08","Lengkong","35.18.19","Loceret","35.18.04","Tanjunganom","35.18.11","Wilangan","35.18.15")</f>
        <v>35.18.11</v>
      </c>
      <c r="E906" s="13" t="s">
        <v>27</v>
      </c>
      <c r="F906" s="25" t="s">
        <v>1638</v>
      </c>
      <c r="G906" s="25" t="s">
        <v>1639</v>
      </c>
      <c r="H906" s="13" t="s">
        <v>9</v>
      </c>
      <c r="I906" s="14" t="s">
        <v>1640</v>
      </c>
      <c r="J906" s="34">
        <v>1000</v>
      </c>
      <c r="K906" s="13" t="s">
        <v>1015</v>
      </c>
      <c r="L906" s="22">
        <v>156000000</v>
      </c>
      <c r="M906" s="46"/>
      <c r="N906" s="17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</row>
    <row r="907" spans="1:67" s="3" customFormat="1" ht="20" x14ac:dyDescent="0.2">
      <c r="A907" s="14" t="s">
        <v>2986</v>
      </c>
      <c r="B907" s="14" t="s">
        <v>18</v>
      </c>
      <c r="C907" s="14">
        <v>2025</v>
      </c>
      <c r="D907" s="14" t="str">
        <f t="array" ref="D907">_xlfn.SWITCH(E907,"Jatikalen","35.18.20","Kertosono", "35.18.08","Lengkong","35.18.19","Loceret","35.18.04","Tanjunganom","35.18.11","Wilangan","35.18.15")</f>
        <v>35.18.11</v>
      </c>
      <c r="E907" s="13" t="s">
        <v>27</v>
      </c>
      <c r="F907" s="25" t="s">
        <v>1638</v>
      </c>
      <c r="G907" s="25" t="s">
        <v>1641</v>
      </c>
      <c r="H907" s="13" t="s">
        <v>9</v>
      </c>
      <c r="I907" s="14" t="s">
        <v>1434</v>
      </c>
      <c r="J907" s="34">
        <v>300</v>
      </c>
      <c r="K907" s="13" t="s">
        <v>1642</v>
      </c>
      <c r="L907" s="22">
        <v>46800000</v>
      </c>
      <c r="M907" s="46"/>
      <c r="N907" s="17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</row>
    <row r="908" spans="1:67" s="3" customFormat="1" ht="20" x14ac:dyDescent="0.2">
      <c r="A908" s="14" t="s">
        <v>2986</v>
      </c>
      <c r="B908" s="14" t="s">
        <v>18</v>
      </c>
      <c r="C908" s="14">
        <v>2025</v>
      </c>
      <c r="D908" s="14" t="str">
        <f t="array" ref="D908">_xlfn.SWITCH(E908,"Jatikalen","35.18.20","Kertosono", "35.18.08","Lengkong","35.18.19","Loceret","35.18.04","Tanjunganom","35.18.11","Wilangan","35.18.15")</f>
        <v>35.18.11</v>
      </c>
      <c r="E908" s="13" t="s">
        <v>27</v>
      </c>
      <c r="F908" s="25" t="s">
        <v>1638</v>
      </c>
      <c r="G908" s="25" t="s">
        <v>1643</v>
      </c>
      <c r="H908" s="13" t="s">
        <v>9</v>
      </c>
      <c r="I908" s="14" t="s">
        <v>1434</v>
      </c>
      <c r="J908" s="34">
        <v>700</v>
      </c>
      <c r="K908" s="13" t="s">
        <v>1642</v>
      </c>
      <c r="L908" s="22">
        <v>109200000</v>
      </c>
      <c r="M908" s="46"/>
      <c r="N908" s="17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</row>
    <row r="909" spans="1:67" s="3" customFormat="1" ht="20" x14ac:dyDescent="0.2">
      <c r="A909" s="14" t="s">
        <v>2986</v>
      </c>
      <c r="B909" s="14" t="s">
        <v>18</v>
      </c>
      <c r="C909" s="14">
        <v>2025</v>
      </c>
      <c r="D909" s="14" t="str">
        <f t="array" ref="D909">_xlfn.SWITCH(E909,"Jatikalen","35.18.20","Kertosono", "35.18.08","Lengkong","35.18.19","Loceret","35.18.04","Tanjunganom","35.18.11","Wilangan","35.18.15")</f>
        <v>35.18.11</v>
      </c>
      <c r="E909" s="13" t="s">
        <v>27</v>
      </c>
      <c r="F909" s="25" t="s">
        <v>1638</v>
      </c>
      <c r="G909" s="25" t="s">
        <v>1644</v>
      </c>
      <c r="H909" s="13" t="s">
        <v>9</v>
      </c>
      <c r="I909" s="14" t="s">
        <v>1640</v>
      </c>
      <c r="J909" s="34">
        <v>500</v>
      </c>
      <c r="K909" s="13" t="s">
        <v>1642</v>
      </c>
      <c r="L909" s="22">
        <v>78000000</v>
      </c>
      <c r="M909" s="46"/>
      <c r="N909" s="17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</row>
    <row r="910" spans="1:67" s="3" customFormat="1" ht="20" x14ac:dyDescent="0.2">
      <c r="A910" s="14" t="s">
        <v>2986</v>
      </c>
      <c r="B910" s="14" t="s">
        <v>18</v>
      </c>
      <c r="C910" s="14">
        <v>2025</v>
      </c>
      <c r="D910" s="14" t="str">
        <f t="array" ref="D910">_xlfn.SWITCH(E910,"Jatikalen","35.18.20","Kertosono", "35.18.08","Lengkong","35.18.19","Loceret","35.18.04","Tanjunganom","35.18.11","Wilangan","35.18.15")</f>
        <v>35.18.11</v>
      </c>
      <c r="E910" s="13" t="s">
        <v>27</v>
      </c>
      <c r="F910" s="25" t="s">
        <v>1638</v>
      </c>
      <c r="G910" s="25" t="s">
        <v>1645</v>
      </c>
      <c r="H910" s="13" t="s">
        <v>9</v>
      </c>
      <c r="I910" s="14" t="s">
        <v>1640</v>
      </c>
      <c r="J910" s="34">
        <v>500</v>
      </c>
      <c r="K910" s="13" t="s">
        <v>1642</v>
      </c>
      <c r="L910" s="22">
        <v>78000000</v>
      </c>
      <c r="M910" s="46"/>
      <c r="N910" s="17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</row>
    <row r="911" spans="1:67" s="3" customFormat="1" ht="20" x14ac:dyDescent="0.2">
      <c r="A911" s="14" t="s">
        <v>2986</v>
      </c>
      <c r="B911" s="14" t="s">
        <v>18</v>
      </c>
      <c r="C911" s="14">
        <v>2025</v>
      </c>
      <c r="D911" s="14" t="str">
        <f t="array" ref="D911">_xlfn.SWITCH(E911,"Jatikalen","35.18.20","Kertosono", "35.18.08","Lengkong","35.18.19","Loceret","35.18.04","Tanjunganom","35.18.11","Wilangan","35.18.15")</f>
        <v>35.18.11</v>
      </c>
      <c r="E911" s="13" t="s">
        <v>27</v>
      </c>
      <c r="F911" s="25" t="s">
        <v>1638</v>
      </c>
      <c r="G911" s="25" t="s">
        <v>1646</v>
      </c>
      <c r="H911" s="13" t="s">
        <v>9</v>
      </c>
      <c r="I911" s="14" t="s">
        <v>1640</v>
      </c>
      <c r="J911" s="34">
        <v>500</v>
      </c>
      <c r="K911" s="13" t="s">
        <v>1642</v>
      </c>
      <c r="L911" s="22">
        <v>78000000</v>
      </c>
      <c r="M911" s="46"/>
      <c r="N911" s="17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</row>
    <row r="912" spans="1:67" s="3" customFormat="1" ht="20" x14ac:dyDescent="0.2">
      <c r="A912" s="14" t="s">
        <v>2986</v>
      </c>
      <c r="B912" s="14" t="s">
        <v>18</v>
      </c>
      <c r="C912" s="14">
        <v>2025</v>
      </c>
      <c r="D912" s="14" t="str">
        <f t="array" ref="D912">_xlfn.SWITCH(E912,"Jatikalen","35.18.20","Kertosono", "35.18.08","Lengkong","35.18.19","Loceret","35.18.04","Tanjunganom","35.18.11","Wilangan","35.18.15")</f>
        <v>35.18.11</v>
      </c>
      <c r="E912" s="13" t="s">
        <v>27</v>
      </c>
      <c r="F912" s="25" t="s">
        <v>1638</v>
      </c>
      <c r="G912" s="25" t="s">
        <v>1537</v>
      </c>
      <c r="H912" s="13" t="s">
        <v>9</v>
      </c>
      <c r="I912" s="14" t="s">
        <v>1640</v>
      </c>
      <c r="J912" s="34">
        <v>400</v>
      </c>
      <c r="K912" s="13" t="s">
        <v>1642</v>
      </c>
      <c r="L912" s="22">
        <v>62400000</v>
      </c>
      <c r="M912" s="46"/>
      <c r="N912" s="17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</row>
    <row r="913" spans="1:67" s="3" customFormat="1" ht="20" x14ac:dyDescent="0.2">
      <c r="A913" s="14" t="s">
        <v>2986</v>
      </c>
      <c r="B913" s="14" t="s">
        <v>18</v>
      </c>
      <c r="C913" s="14">
        <v>2025</v>
      </c>
      <c r="D913" s="14" t="str">
        <f t="array" ref="D913">_xlfn.SWITCH(E913,"Jatikalen","35.18.20","Kertosono", "35.18.08","Lengkong","35.18.19","Loceret","35.18.04","Tanjunganom","35.18.11","Wilangan","35.18.15")</f>
        <v>35.18.11</v>
      </c>
      <c r="E913" s="13" t="s">
        <v>27</v>
      </c>
      <c r="F913" s="25" t="s">
        <v>1638</v>
      </c>
      <c r="G913" s="25" t="s">
        <v>1647</v>
      </c>
      <c r="H913" s="13" t="s">
        <v>9</v>
      </c>
      <c r="I913" s="14" t="s">
        <v>1640</v>
      </c>
      <c r="J913" s="34">
        <v>300</v>
      </c>
      <c r="K913" s="13" t="s">
        <v>1642</v>
      </c>
      <c r="L913" s="22">
        <v>46800000</v>
      </c>
      <c r="M913" s="46"/>
      <c r="N913" s="17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</row>
    <row r="914" spans="1:67" s="3" customFormat="1" ht="20" x14ac:dyDescent="0.2">
      <c r="A914" s="14" t="s">
        <v>2986</v>
      </c>
      <c r="B914" s="14" t="s">
        <v>18</v>
      </c>
      <c r="C914" s="14">
        <v>2025</v>
      </c>
      <c r="D914" s="14" t="str">
        <f t="array" ref="D914">_xlfn.SWITCH(E914,"Jatikalen","35.18.20","Kertosono", "35.18.08","Lengkong","35.18.19","Loceret","35.18.04","Tanjunganom","35.18.11","Wilangan","35.18.15")</f>
        <v>35.18.11</v>
      </c>
      <c r="E914" s="13" t="s">
        <v>27</v>
      </c>
      <c r="F914" s="25" t="s">
        <v>1638</v>
      </c>
      <c r="G914" s="25" t="s">
        <v>1648</v>
      </c>
      <c r="H914" s="13" t="s">
        <v>9</v>
      </c>
      <c r="I914" s="14" t="s">
        <v>1640</v>
      </c>
      <c r="J914" s="34">
        <v>400</v>
      </c>
      <c r="K914" s="13" t="s">
        <v>1642</v>
      </c>
      <c r="L914" s="22">
        <v>62400000</v>
      </c>
      <c r="M914" s="46"/>
      <c r="N914" s="17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</row>
    <row r="915" spans="1:67" s="3" customFormat="1" x14ac:dyDescent="0.2">
      <c r="A915" s="14" t="s">
        <v>2986</v>
      </c>
      <c r="B915" s="14" t="s">
        <v>18</v>
      </c>
      <c r="C915" s="14">
        <v>2025</v>
      </c>
      <c r="D915" s="14" t="str">
        <f t="array" ref="D915">_xlfn.SWITCH(E915,"Bagor","35.18.14","Sukomoro",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5" s="13" t="s">
        <v>65</v>
      </c>
      <c r="F915" s="25" t="s">
        <v>1649</v>
      </c>
      <c r="G915" s="25" t="s">
        <v>1650</v>
      </c>
      <c r="H915" s="13" t="s">
        <v>9</v>
      </c>
      <c r="I915" s="14" t="s">
        <v>181</v>
      </c>
      <c r="J915" s="34">
        <v>300</v>
      </c>
      <c r="K915" s="13" t="s">
        <v>1642</v>
      </c>
      <c r="L915" s="22">
        <v>56160000</v>
      </c>
      <c r="M915" s="46"/>
      <c r="N915" s="17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</row>
    <row r="916" spans="1:67" s="3" customFormat="1" x14ac:dyDescent="0.2">
      <c r="A916" s="14" t="s">
        <v>2986</v>
      </c>
      <c r="B916" s="14" t="s">
        <v>18</v>
      </c>
      <c r="C916" s="14">
        <v>2025</v>
      </c>
      <c r="D916" s="14" t="str">
        <f t="array" ref="D916">_xlfn.SWITCH(E916,"Bagor","35.18.14","Sukomoro",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6" s="13" t="s">
        <v>65</v>
      </c>
      <c r="F916" s="25" t="s">
        <v>1649</v>
      </c>
      <c r="G916" s="25" t="s">
        <v>1651</v>
      </c>
      <c r="H916" s="13" t="s">
        <v>9</v>
      </c>
      <c r="I916" s="14" t="s">
        <v>181</v>
      </c>
      <c r="J916" s="34">
        <v>1500</v>
      </c>
      <c r="K916" s="13" t="s">
        <v>1642</v>
      </c>
      <c r="L916" s="22">
        <v>280800000</v>
      </c>
      <c r="M916" s="46"/>
      <c r="N916" s="17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</row>
    <row r="917" spans="1:67" s="3" customFormat="1" x14ac:dyDescent="0.2">
      <c r="A917" s="14" t="s">
        <v>2986</v>
      </c>
      <c r="B917" s="14" t="s">
        <v>18</v>
      </c>
      <c r="C917" s="14">
        <v>2025</v>
      </c>
      <c r="D917" s="14" t="str">
        <f t="array" ref="D917">_xlfn.SWITCH(E917,"Bagor","35.18.14","Sukomoro",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7" s="13" t="s">
        <v>65</v>
      </c>
      <c r="F917" s="25" t="s">
        <v>1649</v>
      </c>
      <c r="G917" s="25" t="s">
        <v>1652</v>
      </c>
      <c r="H917" s="13" t="s">
        <v>9</v>
      </c>
      <c r="I917" s="14" t="s">
        <v>181</v>
      </c>
      <c r="J917" s="34">
        <v>100</v>
      </c>
      <c r="K917" s="13" t="s">
        <v>1642</v>
      </c>
      <c r="L917" s="22">
        <v>18720000</v>
      </c>
      <c r="M917" s="46"/>
      <c r="N917" s="17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</row>
    <row r="918" spans="1:67" s="3" customFormat="1" x14ac:dyDescent="0.2">
      <c r="A918" s="14" t="s">
        <v>2986</v>
      </c>
      <c r="B918" s="14" t="s">
        <v>18</v>
      </c>
      <c r="C918" s="14">
        <v>2025</v>
      </c>
      <c r="D918" s="14" t="str">
        <f t="array" ref="D918">_xlfn.SWITCH(E918,"Bagor","35.18.14","Sukomoro",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8" s="13" t="s">
        <v>65</v>
      </c>
      <c r="F918" s="25" t="s">
        <v>1649</v>
      </c>
      <c r="G918" s="25" t="s">
        <v>1653</v>
      </c>
      <c r="H918" s="13" t="s">
        <v>9</v>
      </c>
      <c r="I918" s="14" t="s">
        <v>181</v>
      </c>
      <c r="J918" s="34">
        <v>250</v>
      </c>
      <c r="K918" s="13" t="s">
        <v>1642</v>
      </c>
      <c r="L918" s="22">
        <v>46800000</v>
      </c>
      <c r="M918" s="46"/>
      <c r="N918" s="17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</row>
    <row r="919" spans="1:67" s="3" customFormat="1" x14ac:dyDescent="0.2">
      <c r="A919" s="14" t="s">
        <v>2986</v>
      </c>
      <c r="B919" s="14" t="s">
        <v>18</v>
      </c>
      <c r="C919" s="14">
        <v>2025</v>
      </c>
      <c r="D919" s="14" t="str">
        <f t="array" ref="D919">_xlfn.SWITCH(E919,"Bagor","35.18.14","Sukomoro",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9" s="13" t="s">
        <v>65</v>
      </c>
      <c r="F919" s="25" t="s">
        <v>1649</v>
      </c>
      <c r="G919" s="25" t="s">
        <v>1650</v>
      </c>
      <c r="H919" s="13" t="s">
        <v>9</v>
      </c>
      <c r="I919" s="14" t="s">
        <v>181</v>
      </c>
      <c r="J919" s="34">
        <v>250</v>
      </c>
      <c r="K919" s="13" t="s">
        <v>1642</v>
      </c>
      <c r="L919" s="22">
        <v>46800000</v>
      </c>
      <c r="M919" s="46"/>
      <c r="N919" s="17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</row>
    <row r="920" spans="1:67" s="3" customFormat="1" x14ac:dyDescent="0.2">
      <c r="A920" s="14" t="s">
        <v>2986</v>
      </c>
      <c r="B920" s="14" t="s">
        <v>18</v>
      </c>
      <c r="C920" s="14">
        <v>2025</v>
      </c>
      <c r="D920" s="14" t="str">
        <f t="array" ref="D920">_xlfn.SWITCH(E920,"Bagor","35.18.14","Sukomoro",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0" s="13" t="s">
        <v>65</v>
      </c>
      <c r="F920" s="25" t="s">
        <v>1649</v>
      </c>
      <c r="G920" s="25" t="s">
        <v>1654</v>
      </c>
      <c r="H920" s="13" t="s">
        <v>9</v>
      </c>
      <c r="I920" s="14" t="s">
        <v>181</v>
      </c>
      <c r="J920" s="34">
        <v>300</v>
      </c>
      <c r="K920" s="13" t="s">
        <v>1642</v>
      </c>
      <c r="L920" s="22">
        <v>56160000</v>
      </c>
      <c r="M920" s="46"/>
      <c r="N920" s="17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</row>
    <row r="921" spans="1:67" s="3" customFormat="1" x14ac:dyDescent="0.2">
      <c r="A921" s="14" t="s">
        <v>2986</v>
      </c>
      <c r="B921" s="14" t="s">
        <v>18</v>
      </c>
      <c r="C921" s="14">
        <v>2025</v>
      </c>
      <c r="D921" s="14" t="str">
        <f t="array" ref="D921">_xlfn.SWITCH(E921,"Bagor","35.18.14","Sukomoro",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1" s="13" t="s">
        <v>65</v>
      </c>
      <c r="F921" s="25" t="s">
        <v>1649</v>
      </c>
      <c r="G921" s="25" t="s">
        <v>1653</v>
      </c>
      <c r="H921" s="13" t="s">
        <v>9</v>
      </c>
      <c r="I921" s="14" t="s">
        <v>181</v>
      </c>
      <c r="J921" s="34">
        <v>300</v>
      </c>
      <c r="K921" s="13" t="s">
        <v>1642</v>
      </c>
      <c r="L921" s="22">
        <v>56160000</v>
      </c>
      <c r="M921" s="46"/>
      <c r="N921" s="17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</row>
    <row r="922" spans="1:67" s="3" customFormat="1" x14ac:dyDescent="0.2">
      <c r="A922" s="14" t="s">
        <v>2986</v>
      </c>
      <c r="B922" s="14" t="s">
        <v>18</v>
      </c>
      <c r="C922" s="14">
        <v>2025</v>
      </c>
      <c r="D922" s="14" t="str">
        <f t="array" ref="D922">_xlfn.SWITCH(E922,"Bagor","35.18.14","Sukomoro",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2" s="13" t="s">
        <v>65</v>
      </c>
      <c r="F922" s="25" t="s">
        <v>1649</v>
      </c>
      <c r="G922" s="25" t="s">
        <v>1654</v>
      </c>
      <c r="H922" s="13" t="s">
        <v>9</v>
      </c>
      <c r="I922" s="14" t="s">
        <v>181</v>
      </c>
      <c r="J922" s="34">
        <v>250</v>
      </c>
      <c r="K922" s="13" t="s">
        <v>1642</v>
      </c>
      <c r="L922" s="22">
        <v>46800000</v>
      </c>
      <c r="M922" s="46"/>
      <c r="N922" s="17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</row>
    <row r="923" spans="1:67" s="3" customFormat="1" x14ac:dyDescent="0.2">
      <c r="A923" s="14" t="s">
        <v>2986</v>
      </c>
      <c r="B923" s="14" t="s">
        <v>18</v>
      </c>
      <c r="C923" s="14">
        <v>2025</v>
      </c>
      <c r="D923" s="14" t="str">
        <f t="array" ref="D923">_xlfn.SWITCH(E923,"Bagor","35.18.14","Sukomoro",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3" s="13" t="s">
        <v>65</v>
      </c>
      <c r="F923" s="25" t="s">
        <v>1649</v>
      </c>
      <c r="G923" s="25" t="s">
        <v>1655</v>
      </c>
      <c r="H923" s="13" t="s">
        <v>9</v>
      </c>
      <c r="I923" s="14" t="s">
        <v>181</v>
      </c>
      <c r="J923" s="34">
        <v>300</v>
      </c>
      <c r="K923" s="13" t="s">
        <v>1642</v>
      </c>
      <c r="L923" s="22">
        <v>56160000</v>
      </c>
      <c r="M923" s="46"/>
      <c r="N923" s="17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</row>
    <row r="924" spans="1:67" s="3" customFormat="1" x14ac:dyDescent="0.2">
      <c r="A924" s="14" t="s">
        <v>2986</v>
      </c>
      <c r="B924" s="14" t="s">
        <v>18</v>
      </c>
      <c r="C924" s="14">
        <v>2025</v>
      </c>
      <c r="D924" s="14" t="str">
        <f t="array" ref="D924">_xlfn.SWITCH(E924,"Bagor","35.18.14","Sukomoro",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4" s="13" t="s">
        <v>65</v>
      </c>
      <c r="F924" s="25" t="s">
        <v>1649</v>
      </c>
      <c r="G924" s="25" t="s">
        <v>1650</v>
      </c>
      <c r="H924" s="13" t="s">
        <v>9</v>
      </c>
      <c r="I924" s="14" t="s">
        <v>181</v>
      </c>
      <c r="J924" s="34">
        <v>250</v>
      </c>
      <c r="K924" s="13" t="s">
        <v>1642</v>
      </c>
      <c r="L924" s="22">
        <v>46800000</v>
      </c>
      <c r="M924" s="46"/>
      <c r="N924" s="17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</row>
    <row r="925" spans="1:67" s="3" customFormat="1" x14ac:dyDescent="0.2">
      <c r="A925" s="14" t="s">
        <v>2986</v>
      </c>
      <c r="B925" s="14" t="s">
        <v>18</v>
      </c>
      <c r="C925" s="14">
        <v>2025</v>
      </c>
      <c r="D925" s="14" t="str">
        <f t="array" ref="D925">_xlfn.SWITCH(E925,"Bagor","35.18.14","Sukomoro",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5" s="13" t="s">
        <v>65</v>
      </c>
      <c r="F925" s="25" t="s">
        <v>1649</v>
      </c>
      <c r="G925" s="25" t="s">
        <v>1650</v>
      </c>
      <c r="H925" s="13" t="s">
        <v>9</v>
      </c>
      <c r="I925" s="14" t="s">
        <v>181</v>
      </c>
      <c r="J925" s="34">
        <v>300</v>
      </c>
      <c r="K925" s="13" t="s">
        <v>1642</v>
      </c>
      <c r="L925" s="22">
        <v>56160000</v>
      </c>
      <c r="M925" s="46"/>
      <c r="N925" s="17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</row>
    <row r="926" spans="1:67" s="3" customFormat="1" x14ac:dyDescent="0.2">
      <c r="A926" s="14" t="s">
        <v>2986</v>
      </c>
      <c r="B926" s="14" t="s">
        <v>18</v>
      </c>
      <c r="C926" s="14">
        <v>2025</v>
      </c>
      <c r="D926" s="14" t="str">
        <f t="array" ref="D926">_xlfn.SWITCH(E926,"Bagor","35.18.14","Sukomoro",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6" s="13" t="s">
        <v>65</v>
      </c>
      <c r="F926" s="25" t="s">
        <v>1649</v>
      </c>
      <c r="G926" s="25" t="s">
        <v>1650</v>
      </c>
      <c r="H926" s="13" t="s">
        <v>9</v>
      </c>
      <c r="I926" s="14" t="s">
        <v>181</v>
      </c>
      <c r="J926" s="34">
        <v>300</v>
      </c>
      <c r="K926" s="13" t="s">
        <v>1642</v>
      </c>
      <c r="L926" s="22">
        <v>56160000</v>
      </c>
      <c r="M926" s="46"/>
      <c r="N926" s="17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</row>
    <row r="927" spans="1:67" s="3" customFormat="1" ht="20" x14ac:dyDescent="0.2">
      <c r="A927" s="14" t="s">
        <v>2986</v>
      </c>
      <c r="B927" s="14" t="s">
        <v>18</v>
      </c>
      <c r="C927" s="14">
        <v>2025</v>
      </c>
      <c r="D927" s="14" t="str">
        <f t="array" ref="D927">_xlfn.SWITCH(E927,"Jatikalen","35.18.20","Kertosono", "35.18.08","Lengkong","35.18.19","Loceret","35.18.04","Tanjunganom","35.18.11","Wilangan","35.18.15")</f>
        <v>35.18.11</v>
      </c>
      <c r="E927" s="13" t="s">
        <v>27</v>
      </c>
      <c r="F927" s="25" t="s">
        <v>1656</v>
      </c>
      <c r="G927" s="25" t="s">
        <v>1274</v>
      </c>
      <c r="H927" s="13" t="s">
        <v>9</v>
      </c>
      <c r="I927" s="14" t="s">
        <v>1434</v>
      </c>
      <c r="J927" s="34">
        <v>300</v>
      </c>
      <c r="K927" s="13" t="s">
        <v>1642</v>
      </c>
      <c r="L927" s="22">
        <v>46800000</v>
      </c>
      <c r="M927" s="46"/>
      <c r="N927" s="17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</row>
    <row r="928" spans="1:67" s="3" customFormat="1" ht="20" x14ac:dyDescent="0.2">
      <c r="A928" s="14" t="s">
        <v>2986</v>
      </c>
      <c r="B928" s="14" t="s">
        <v>18</v>
      </c>
      <c r="C928" s="14">
        <v>2025</v>
      </c>
      <c r="D928" s="14" t="str">
        <f t="array" ref="D928">_xlfn.SWITCH(E928,"Jatikalen","35.18.20","Kertosono", "35.18.08","Lengkong","35.18.19","Loceret","35.18.04","Tanjunganom","35.18.11","Wilangan","35.18.15")</f>
        <v>35.18.11</v>
      </c>
      <c r="E928" s="13" t="s">
        <v>27</v>
      </c>
      <c r="F928" s="25" t="s">
        <v>1656</v>
      </c>
      <c r="G928" s="25" t="s">
        <v>1657</v>
      </c>
      <c r="H928" s="13" t="s">
        <v>9</v>
      </c>
      <c r="I928" s="14" t="s">
        <v>1658</v>
      </c>
      <c r="J928" s="34">
        <v>400</v>
      </c>
      <c r="K928" s="13" t="s">
        <v>1642</v>
      </c>
      <c r="L928" s="22">
        <v>62400000</v>
      </c>
      <c r="M928" s="46"/>
      <c r="N928" s="17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</row>
    <row r="929" spans="1:67" s="3" customFormat="1" x14ac:dyDescent="0.2">
      <c r="A929" s="14" t="s">
        <v>2986</v>
      </c>
      <c r="B929" s="14" t="s">
        <v>18</v>
      </c>
      <c r="C929" s="14">
        <v>2025</v>
      </c>
      <c r="D929" s="14" t="str">
        <f t="array" ref="D929">_xlfn.SWITCH(E929,"Bagor","35.18.14","Sukomoro",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29" s="13" t="s">
        <v>7</v>
      </c>
      <c r="F929" s="25" t="s">
        <v>1659</v>
      </c>
      <c r="G929" s="25" t="s">
        <v>1660</v>
      </c>
      <c r="H929" s="13" t="s">
        <v>20</v>
      </c>
      <c r="I929" s="14" t="s">
        <v>1661</v>
      </c>
      <c r="J929" s="34">
        <v>10</v>
      </c>
      <c r="K929" s="13" t="s">
        <v>1662</v>
      </c>
      <c r="L929" s="22">
        <v>120000000</v>
      </c>
      <c r="M929" s="46"/>
      <c r="N929" s="17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</row>
    <row r="930" spans="1:67" s="3" customFormat="1" x14ac:dyDescent="0.2">
      <c r="A930" s="14" t="s">
        <v>2986</v>
      </c>
      <c r="B930" s="14" t="s">
        <v>18</v>
      </c>
      <c r="C930" s="14">
        <v>2025</v>
      </c>
      <c r="D930" s="14" t="str">
        <f t="array" ref="D930">_xlfn.SWITCH(E930,"Bagor","35.18.14","Sukomoro",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0" s="13" t="s">
        <v>65</v>
      </c>
      <c r="F930" s="25" t="s">
        <v>1649</v>
      </c>
      <c r="G930" s="25" t="s">
        <v>1663</v>
      </c>
      <c r="H930" s="13" t="s">
        <v>9</v>
      </c>
      <c r="I930" s="14" t="s">
        <v>181</v>
      </c>
      <c r="J930" s="34">
        <v>300</v>
      </c>
      <c r="K930" s="13" t="s">
        <v>1642</v>
      </c>
      <c r="L930" s="22">
        <v>56160000</v>
      </c>
      <c r="M930" s="46"/>
      <c r="N930" s="17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</row>
    <row r="931" spans="1:67" s="3" customFormat="1" x14ac:dyDescent="0.2">
      <c r="A931" s="14" t="s">
        <v>2986</v>
      </c>
      <c r="B931" s="14" t="s">
        <v>18</v>
      </c>
      <c r="C931" s="14">
        <v>2025</v>
      </c>
      <c r="D931" s="14" t="str">
        <f t="array" ref="D931">_xlfn.SWITCH(E931,"Bagor","35.18.14","Sukomoro",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1" s="13" t="s">
        <v>65</v>
      </c>
      <c r="F931" s="25" t="s">
        <v>1649</v>
      </c>
      <c r="G931" s="25" t="s">
        <v>1664</v>
      </c>
      <c r="H931" s="13" t="s">
        <v>9</v>
      </c>
      <c r="I931" s="14" t="s">
        <v>181</v>
      </c>
      <c r="J931" s="34">
        <v>500</v>
      </c>
      <c r="K931" s="13" t="s">
        <v>1642</v>
      </c>
      <c r="L931" s="22">
        <v>93600000</v>
      </c>
      <c r="M931" s="46"/>
      <c r="N931" s="17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</row>
    <row r="932" spans="1:67" s="3" customFormat="1" x14ac:dyDescent="0.2">
      <c r="A932" s="14" t="s">
        <v>2986</v>
      </c>
      <c r="B932" s="14" t="s">
        <v>18</v>
      </c>
      <c r="C932" s="14">
        <v>2025</v>
      </c>
      <c r="D932" s="14" t="str">
        <f t="array" ref="D932">_xlfn.SWITCH(E932,"Bagor","35.18.14","Sukomoro",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2" s="13" t="s">
        <v>65</v>
      </c>
      <c r="F932" s="25" t="s">
        <v>1649</v>
      </c>
      <c r="G932" s="25" t="s">
        <v>1665</v>
      </c>
      <c r="H932" s="13" t="s">
        <v>9</v>
      </c>
      <c r="I932" s="14" t="s">
        <v>181</v>
      </c>
      <c r="J932" s="34">
        <v>250</v>
      </c>
      <c r="K932" s="13" t="s">
        <v>1642</v>
      </c>
      <c r="L932" s="22">
        <v>46800000</v>
      </c>
      <c r="M932" s="46"/>
      <c r="N932" s="17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</row>
    <row r="933" spans="1:67" s="3" customFormat="1" x14ac:dyDescent="0.2">
      <c r="A933" s="14" t="s">
        <v>2986</v>
      </c>
      <c r="B933" s="14" t="s">
        <v>18</v>
      </c>
      <c r="C933" s="14">
        <v>2025</v>
      </c>
      <c r="D933" s="14" t="str">
        <f t="array" ref="D933">_xlfn.SWITCH(E933,"Bagor","35.18.14","Sukomoro",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3" s="13" t="s">
        <v>65</v>
      </c>
      <c r="F933" s="25" t="s">
        <v>1649</v>
      </c>
      <c r="G933" s="25" t="s">
        <v>1655</v>
      </c>
      <c r="H933" s="13" t="s">
        <v>9</v>
      </c>
      <c r="I933" s="14" t="s">
        <v>181</v>
      </c>
      <c r="J933" s="34">
        <v>200</v>
      </c>
      <c r="K933" s="13" t="s">
        <v>1642</v>
      </c>
      <c r="L933" s="22">
        <v>37440000</v>
      </c>
      <c r="M933" s="46"/>
      <c r="N933" s="17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</row>
    <row r="934" spans="1:67" s="3" customFormat="1" x14ac:dyDescent="0.2">
      <c r="A934" s="14" t="s">
        <v>2986</v>
      </c>
      <c r="B934" s="14" t="s">
        <v>18</v>
      </c>
      <c r="C934" s="14">
        <v>2025</v>
      </c>
      <c r="D934" s="14" t="str">
        <f t="array" ref="D934">_xlfn.SWITCH(E934,"Bagor","35.18.14","Sukomoro",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4" s="13" t="s">
        <v>65</v>
      </c>
      <c r="F934" s="25" t="s">
        <v>1649</v>
      </c>
      <c r="G934" s="25" t="s">
        <v>1650</v>
      </c>
      <c r="H934" s="13" t="s">
        <v>9</v>
      </c>
      <c r="I934" s="14" t="s">
        <v>181</v>
      </c>
      <c r="J934" s="34">
        <v>300</v>
      </c>
      <c r="K934" s="13" t="s">
        <v>1642</v>
      </c>
      <c r="L934" s="22">
        <v>56160000</v>
      </c>
      <c r="M934" s="46"/>
      <c r="N934" s="17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</row>
    <row r="935" spans="1:67" s="3" customFormat="1" x14ac:dyDescent="0.2">
      <c r="A935" s="14" t="s">
        <v>2986</v>
      </c>
      <c r="B935" s="14" t="s">
        <v>18</v>
      </c>
      <c r="C935" s="14">
        <v>2025</v>
      </c>
      <c r="D935" s="14" t="str">
        <f t="array" ref="D935">_xlfn.SWITCH(E935,"Bagor","35.18.14","Sukomoro",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5" s="13" t="s">
        <v>65</v>
      </c>
      <c r="F935" s="25" t="s">
        <v>1649</v>
      </c>
      <c r="G935" s="25" t="s">
        <v>1653</v>
      </c>
      <c r="H935" s="13" t="s">
        <v>9</v>
      </c>
      <c r="I935" s="14" t="s">
        <v>181</v>
      </c>
      <c r="J935" s="34">
        <v>400</v>
      </c>
      <c r="K935" s="13" t="s">
        <v>1642</v>
      </c>
      <c r="L935" s="22">
        <v>74880000</v>
      </c>
      <c r="M935" s="46"/>
      <c r="N935" s="17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</row>
    <row r="936" spans="1:67" s="3" customFormat="1" x14ac:dyDescent="0.2">
      <c r="A936" s="14" t="s">
        <v>2986</v>
      </c>
      <c r="B936" s="14" t="s">
        <v>18</v>
      </c>
      <c r="C936" s="14">
        <v>2025</v>
      </c>
      <c r="D936" s="14" t="str">
        <f t="array" ref="D936">_xlfn.SWITCH(E936,"Bagor","35.18.14","Sukomoro",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6" s="13" t="s">
        <v>57</v>
      </c>
      <c r="F936" s="25" t="s">
        <v>1666</v>
      </c>
      <c r="G936" s="25" t="s">
        <v>1667</v>
      </c>
      <c r="H936" s="13" t="s">
        <v>9</v>
      </c>
      <c r="I936" s="14" t="s">
        <v>1485</v>
      </c>
      <c r="J936" s="34">
        <v>450</v>
      </c>
      <c r="K936" s="13" t="s">
        <v>1642</v>
      </c>
      <c r="L936" s="22">
        <v>168480000</v>
      </c>
      <c r="M936" s="46"/>
      <c r="N936" s="17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</row>
    <row r="937" spans="1:67" s="3" customFormat="1" x14ac:dyDescent="0.2">
      <c r="A937" s="14" t="s">
        <v>2986</v>
      </c>
      <c r="B937" s="14" t="s">
        <v>18</v>
      </c>
      <c r="C937" s="14">
        <v>2025</v>
      </c>
      <c r="D937" s="14" t="str">
        <f t="array" ref="D937">_xlfn.SWITCH(E937,"Bagor","35.18.14","Sukomoro",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7" s="13" t="s">
        <v>57</v>
      </c>
      <c r="F937" s="25" t="s">
        <v>1666</v>
      </c>
      <c r="G937" s="25" t="s">
        <v>1602</v>
      </c>
      <c r="H937" s="13" t="s">
        <v>9</v>
      </c>
      <c r="I937" s="14" t="s">
        <v>1485</v>
      </c>
      <c r="J937" s="34">
        <v>100</v>
      </c>
      <c r="K937" s="13" t="s">
        <v>1642</v>
      </c>
      <c r="L937" s="22">
        <v>37440000</v>
      </c>
      <c r="M937" s="46"/>
      <c r="N937" s="17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</row>
    <row r="938" spans="1:67" s="3" customFormat="1" x14ac:dyDescent="0.2">
      <c r="A938" s="14" t="s">
        <v>2986</v>
      </c>
      <c r="B938" s="14" t="s">
        <v>18</v>
      </c>
      <c r="C938" s="14">
        <v>2025</v>
      </c>
      <c r="D938" s="14" t="str">
        <f t="array" ref="D938">_xlfn.SWITCH(E938,"Bagor","35.18.14","Sukomoro",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8" s="13" t="s">
        <v>57</v>
      </c>
      <c r="F938" s="25" t="s">
        <v>1666</v>
      </c>
      <c r="G938" s="25" t="s">
        <v>1668</v>
      </c>
      <c r="H938" s="13" t="s">
        <v>9</v>
      </c>
      <c r="I938" s="14" t="s">
        <v>1485</v>
      </c>
      <c r="J938" s="34">
        <v>50</v>
      </c>
      <c r="K938" s="13" t="s">
        <v>1642</v>
      </c>
      <c r="L938" s="22">
        <v>18720000</v>
      </c>
      <c r="M938" s="46"/>
      <c r="N938" s="17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</row>
    <row r="939" spans="1:67" s="3" customFormat="1" x14ac:dyDescent="0.2">
      <c r="A939" s="14" t="s">
        <v>2986</v>
      </c>
      <c r="B939" s="14" t="s">
        <v>18</v>
      </c>
      <c r="C939" s="14">
        <v>2025</v>
      </c>
      <c r="D939" s="14" t="str">
        <f t="array" ref="D939">_xlfn.SWITCH(E939,"Bagor","35.18.14","Sukomoro",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39" s="13" t="s">
        <v>7</v>
      </c>
      <c r="F939" s="25" t="s">
        <v>1669</v>
      </c>
      <c r="G939" s="25" t="s">
        <v>1670</v>
      </c>
      <c r="H939" s="13" t="s">
        <v>9</v>
      </c>
      <c r="I939" s="14" t="s">
        <v>1671</v>
      </c>
      <c r="J939" s="34">
        <v>10</v>
      </c>
      <c r="K939" s="13" t="s">
        <v>1672</v>
      </c>
      <c r="L939" s="22">
        <v>90000000</v>
      </c>
      <c r="M939" s="46"/>
      <c r="N939" s="17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</row>
    <row r="940" spans="1:67" s="3" customFormat="1" x14ac:dyDescent="0.2">
      <c r="A940" s="14" t="s">
        <v>2986</v>
      </c>
      <c r="B940" s="14" t="s">
        <v>18</v>
      </c>
      <c r="C940" s="14">
        <v>2025</v>
      </c>
      <c r="D940" s="14" t="str">
        <f t="array" ref="D940">_xlfn.SWITCH(E940,"Bagor","35.18.14","Sukomoro",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0" s="13" t="s">
        <v>57</v>
      </c>
      <c r="F940" s="25" t="s">
        <v>1666</v>
      </c>
      <c r="G940" s="25" t="s">
        <v>1673</v>
      </c>
      <c r="H940" s="13" t="s">
        <v>9</v>
      </c>
      <c r="I940" s="14" t="s">
        <v>1674</v>
      </c>
      <c r="J940" s="34">
        <v>50</v>
      </c>
      <c r="K940" s="13" t="s">
        <v>1642</v>
      </c>
      <c r="L940" s="22">
        <v>18720000</v>
      </c>
      <c r="M940" s="46"/>
      <c r="N940" s="17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</row>
    <row r="941" spans="1:67" s="3" customFormat="1" x14ac:dyDescent="0.2">
      <c r="A941" s="14" t="s">
        <v>2986</v>
      </c>
      <c r="B941" s="14" t="s">
        <v>18</v>
      </c>
      <c r="C941" s="14">
        <v>2025</v>
      </c>
      <c r="D941" s="14" t="str">
        <f t="array" ref="D941">_xlfn.SWITCH(E941,"Bagor","35.18.14","Sukomoro",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1" s="13" t="s">
        <v>57</v>
      </c>
      <c r="F941" s="25" t="s">
        <v>1666</v>
      </c>
      <c r="G941" s="25" t="s">
        <v>1675</v>
      </c>
      <c r="H941" s="13" t="s">
        <v>9</v>
      </c>
      <c r="I941" s="14" t="s">
        <v>1674</v>
      </c>
      <c r="J941" s="34">
        <v>100</v>
      </c>
      <c r="K941" s="13" t="s">
        <v>1642</v>
      </c>
      <c r="L941" s="22">
        <v>37440000</v>
      </c>
      <c r="M941" s="46"/>
      <c r="N941" s="17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</row>
    <row r="942" spans="1:67" s="3" customFormat="1" x14ac:dyDescent="0.2">
      <c r="A942" s="14" t="s">
        <v>2986</v>
      </c>
      <c r="B942" s="14" t="s">
        <v>18</v>
      </c>
      <c r="C942" s="14">
        <v>2025</v>
      </c>
      <c r="D942" s="14" t="str">
        <f t="array" ref="D942">_xlfn.SWITCH(E942,"Bagor","35.18.14","Sukomoro",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2" s="13" t="s">
        <v>57</v>
      </c>
      <c r="F942" s="25" t="s">
        <v>1666</v>
      </c>
      <c r="G942" s="25" t="s">
        <v>1676</v>
      </c>
      <c r="H942" s="13" t="s">
        <v>9</v>
      </c>
      <c r="I942" s="14" t="s">
        <v>1674</v>
      </c>
      <c r="J942" s="34">
        <v>300</v>
      </c>
      <c r="K942" s="13" t="s">
        <v>1642</v>
      </c>
      <c r="L942" s="22">
        <v>112320000</v>
      </c>
      <c r="M942" s="46"/>
      <c r="N942" s="17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</row>
    <row r="943" spans="1:67" s="3" customFormat="1" x14ac:dyDescent="0.2">
      <c r="A943" s="14" t="s">
        <v>2986</v>
      </c>
      <c r="B943" s="14" t="s">
        <v>18</v>
      </c>
      <c r="C943" s="14">
        <v>2025</v>
      </c>
      <c r="D943" s="14" t="str">
        <f t="array" ref="D943">_xlfn.SWITCH(E943,"Bagor","35.18.14","Sukomoro",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3" s="13" t="s">
        <v>57</v>
      </c>
      <c r="F943" s="25" t="s">
        <v>1666</v>
      </c>
      <c r="G943" s="25" t="s">
        <v>1677</v>
      </c>
      <c r="H943" s="13" t="s">
        <v>9</v>
      </c>
      <c r="I943" s="14" t="s">
        <v>1678</v>
      </c>
      <c r="J943" s="34">
        <v>100</v>
      </c>
      <c r="K943" s="13" t="s">
        <v>1642</v>
      </c>
      <c r="L943" s="22">
        <v>37440000</v>
      </c>
      <c r="M943" s="46"/>
      <c r="N943" s="17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</row>
    <row r="944" spans="1:67" s="3" customFormat="1" x14ac:dyDescent="0.2">
      <c r="A944" s="14" t="s">
        <v>2986</v>
      </c>
      <c r="B944" s="14" t="s">
        <v>18</v>
      </c>
      <c r="C944" s="14">
        <v>2025</v>
      </c>
      <c r="D944" s="14" t="str">
        <f t="array" ref="D944">_xlfn.SWITCH(E944,"Bagor","35.18.14","Sukomoro",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4" s="13" t="s">
        <v>57</v>
      </c>
      <c r="F944" s="25" t="s">
        <v>1666</v>
      </c>
      <c r="G944" s="25" t="s">
        <v>1679</v>
      </c>
      <c r="H944" s="13" t="s">
        <v>9</v>
      </c>
      <c r="I944" s="14" t="s">
        <v>1632</v>
      </c>
      <c r="J944" s="34">
        <v>80</v>
      </c>
      <c r="K944" s="13" t="s">
        <v>1642</v>
      </c>
      <c r="L944" s="22">
        <v>29952000</v>
      </c>
      <c r="M944" s="46"/>
      <c r="N944" s="17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</row>
    <row r="945" spans="1:67" s="3" customFormat="1" x14ac:dyDescent="0.2">
      <c r="A945" s="14" t="s">
        <v>2986</v>
      </c>
      <c r="B945" s="14" t="s">
        <v>18</v>
      </c>
      <c r="C945" s="14">
        <v>2025</v>
      </c>
      <c r="D945" s="14" t="str">
        <f t="array" ref="D945">_xlfn.SWITCH(E945,"Bagor","35.18.14","Sukomoro",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5" s="13" t="s">
        <v>57</v>
      </c>
      <c r="F945" s="25" t="s">
        <v>1666</v>
      </c>
      <c r="G945" s="25" t="s">
        <v>1680</v>
      </c>
      <c r="H945" s="13" t="s">
        <v>9</v>
      </c>
      <c r="I945" s="14" t="s">
        <v>1485</v>
      </c>
      <c r="J945" s="34">
        <v>100</v>
      </c>
      <c r="K945" s="13" t="s">
        <v>1642</v>
      </c>
      <c r="L945" s="22">
        <v>37440000</v>
      </c>
      <c r="M945" s="46"/>
      <c r="N945" s="17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</row>
    <row r="946" spans="1:67" s="3" customFormat="1" x14ac:dyDescent="0.2">
      <c r="A946" s="14" t="s">
        <v>2986</v>
      </c>
      <c r="B946" s="14" t="s">
        <v>18</v>
      </c>
      <c r="C946" s="14">
        <v>2025</v>
      </c>
      <c r="D946" s="14" t="str">
        <f t="array" ref="D946">_xlfn.SWITCH(E946,"Bagor","35.18.14","Sukomoro",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6" s="13" t="s">
        <v>57</v>
      </c>
      <c r="F946" s="25" t="s">
        <v>1666</v>
      </c>
      <c r="G946" s="25" t="s">
        <v>1681</v>
      </c>
      <c r="H946" s="13" t="s">
        <v>9</v>
      </c>
      <c r="I946" s="14" t="s">
        <v>1485</v>
      </c>
      <c r="J946" s="34">
        <v>100</v>
      </c>
      <c r="K946" s="13" t="s">
        <v>1642</v>
      </c>
      <c r="L946" s="22">
        <v>37440000</v>
      </c>
      <c r="M946" s="46"/>
      <c r="N946" s="17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</row>
    <row r="947" spans="1:67" s="3" customFormat="1" x14ac:dyDescent="0.2">
      <c r="A947" s="14" t="s">
        <v>2986</v>
      </c>
      <c r="B947" s="14" t="s">
        <v>18</v>
      </c>
      <c r="C947" s="14">
        <v>2025</v>
      </c>
      <c r="D947" s="14" t="str">
        <f t="array" ref="D947">_xlfn.SWITCH(E947,"Bagor","35.18.14","Sukomoro",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7" s="13" t="s">
        <v>57</v>
      </c>
      <c r="F947" s="25" t="s">
        <v>1666</v>
      </c>
      <c r="G947" s="25" t="s">
        <v>1682</v>
      </c>
      <c r="H947" s="13" t="s">
        <v>9</v>
      </c>
      <c r="I947" s="14" t="s">
        <v>1485</v>
      </c>
      <c r="J947" s="34">
        <v>100</v>
      </c>
      <c r="K947" s="13" t="s">
        <v>1642</v>
      </c>
      <c r="L947" s="22">
        <v>37440000</v>
      </c>
      <c r="M947" s="46"/>
      <c r="N947" s="17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</row>
    <row r="948" spans="1:67" s="3" customFormat="1" x14ac:dyDescent="0.2">
      <c r="A948" s="14" t="s">
        <v>2986</v>
      </c>
      <c r="B948" s="14" t="s">
        <v>18</v>
      </c>
      <c r="C948" s="14">
        <v>2025</v>
      </c>
      <c r="D948" s="14" t="str">
        <f t="array" ref="D948">_xlfn.SWITCH(E948,"Bagor","35.18.14","Sukomoro",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8" s="13" t="s">
        <v>7</v>
      </c>
      <c r="F948" s="25" t="s">
        <v>1547</v>
      </c>
      <c r="G948" s="25" t="s">
        <v>1683</v>
      </c>
      <c r="H948" s="13" t="s">
        <v>9</v>
      </c>
      <c r="I948" s="14" t="s">
        <v>1684</v>
      </c>
      <c r="J948" s="34">
        <v>15</v>
      </c>
      <c r="K948" s="13" t="s">
        <v>1642</v>
      </c>
      <c r="L948" s="22">
        <v>327600000</v>
      </c>
      <c r="M948" s="46"/>
      <c r="N948" s="17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</row>
    <row r="949" spans="1:67" s="3" customFormat="1" ht="20" x14ac:dyDescent="0.2">
      <c r="A949" s="14" t="s">
        <v>2986</v>
      </c>
      <c r="B949" s="14" t="s">
        <v>18</v>
      </c>
      <c r="C949" s="14">
        <v>2025</v>
      </c>
      <c r="D949" s="14" t="str">
        <f t="array" ref="D949">_xlfn.SWITCH(E949,"Bagor","35.18.14","Sukomoro",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9" s="13" t="s">
        <v>7</v>
      </c>
      <c r="F949" s="25" t="s">
        <v>1634</v>
      </c>
      <c r="G949" s="25" t="s">
        <v>1685</v>
      </c>
      <c r="H949" s="13" t="s">
        <v>20</v>
      </c>
      <c r="I949" s="14" t="s">
        <v>1661</v>
      </c>
      <c r="J949" s="34">
        <v>12</v>
      </c>
      <c r="K949" s="13" t="s">
        <v>1642</v>
      </c>
      <c r="L949" s="22">
        <v>374400000</v>
      </c>
      <c r="M949" s="46"/>
      <c r="N949" s="17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</row>
    <row r="950" spans="1:67" s="3" customFormat="1" x14ac:dyDescent="0.2">
      <c r="A950" s="14" t="s">
        <v>2986</v>
      </c>
      <c r="B950" s="14" t="s">
        <v>18</v>
      </c>
      <c r="C950" s="14">
        <v>2025</v>
      </c>
      <c r="D950" s="14" t="str">
        <f t="array" ref="D950">_xlfn.SWITCH(E950,"Bagor","35.18.14","Sukomoro",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0" s="13" t="s">
        <v>57</v>
      </c>
      <c r="F950" s="25" t="s">
        <v>1666</v>
      </c>
      <c r="G950" s="25" t="s">
        <v>1686</v>
      </c>
      <c r="H950" s="13" t="s">
        <v>9</v>
      </c>
      <c r="I950" s="14" t="s">
        <v>1485</v>
      </c>
      <c r="J950" s="34">
        <v>80</v>
      </c>
      <c r="K950" s="13" t="s">
        <v>1642</v>
      </c>
      <c r="L950" s="22">
        <v>29952000</v>
      </c>
      <c r="M950" s="46"/>
      <c r="N950" s="17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</row>
    <row r="951" spans="1:67" s="3" customFormat="1" x14ac:dyDescent="0.2">
      <c r="A951" s="14" t="s">
        <v>2986</v>
      </c>
      <c r="B951" s="14" t="s">
        <v>18</v>
      </c>
      <c r="C951" s="14">
        <v>2025</v>
      </c>
      <c r="D951" s="14" t="str">
        <f t="array" ref="D951">_xlfn.SWITCH(E951,"Bagor","35.18.14","Sukomoro",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1" s="13" t="s">
        <v>57</v>
      </c>
      <c r="F951" s="25" t="s">
        <v>1666</v>
      </c>
      <c r="G951" s="25" t="s">
        <v>1687</v>
      </c>
      <c r="H951" s="13" t="s">
        <v>9</v>
      </c>
      <c r="I951" s="14" t="s">
        <v>1485</v>
      </c>
      <c r="J951" s="34">
        <v>30</v>
      </c>
      <c r="K951" s="13" t="s">
        <v>1642</v>
      </c>
      <c r="L951" s="22">
        <v>11232000</v>
      </c>
      <c r="M951" s="46"/>
      <c r="N951" s="17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</row>
    <row r="952" spans="1:67" s="3" customFormat="1" x14ac:dyDescent="0.2">
      <c r="A952" s="14" t="s">
        <v>2986</v>
      </c>
      <c r="B952" s="14" t="s">
        <v>18</v>
      </c>
      <c r="C952" s="14">
        <v>2025</v>
      </c>
      <c r="D952" s="14" t="str">
        <f t="array" ref="D952">_xlfn.SWITCH(E952,"Bagor","35.18.14","Sukomoro",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2" s="13" t="s">
        <v>57</v>
      </c>
      <c r="F952" s="25" t="s">
        <v>1666</v>
      </c>
      <c r="G952" s="25" t="s">
        <v>1688</v>
      </c>
      <c r="H952" s="13" t="s">
        <v>9</v>
      </c>
      <c r="I952" s="14" t="s">
        <v>1485</v>
      </c>
      <c r="J952" s="34">
        <v>60</v>
      </c>
      <c r="K952" s="13" t="s">
        <v>1642</v>
      </c>
      <c r="L952" s="22">
        <v>22464000</v>
      </c>
      <c r="M952" s="46"/>
      <c r="N952" s="17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</row>
    <row r="953" spans="1:67" s="3" customFormat="1" x14ac:dyDescent="0.2">
      <c r="A953" s="14" t="s">
        <v>2986</v>
      </c>
      <c r="B953" s="14" t="s">
        <v>18</v>
      </c>
      <c r="C953" s="14">
        <v>2025</v>
      </c>
      <c r="D953" s="14" t="str">
        <f t="array" ref="D953">_xlfn.SWITCH(E953,"Bagor","35.18.14","Sukomoro",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3" s="13" t="s">
        <v>57</v>
      </c>
      <c r="F953" s="25" t="s">
        <v>1666</v>
      </c>
      <c r="G953" s="25" t="s">
        <v>1689</v>
      </c>
      <c r="H953" s="13" t="s">
        <v>9</v>
      </c>
      <c r="I953" s="14" t="s">
        <v>1485</v>
      </c>
      <c r="J953" s="34">
        <v>200</v>
      </c>
      <c r="K953" s="13" t="s">
        <v>1642</v>
      </c>
      <c r="L953" s="22">
        <v>74880000</v>
      </c>
      <c r="M953" s="46"/>
      <c r="N953" s="17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</row>
    <row r="954" spans="1:67" s="3" customFormat="1" x14ac:dyDescent="0.2">
      <c r="A954" s="14" t="s">
        <v>2986</v>
      </c>
      <c r="B954" s="14" t="s">
        <v>18</v>
      </c>
      <c r="C954" s="14">
        <v>2025</v>
      </c>
      <c r="D954" s="14" t="str">
        <f t="array" ref="D954">_xlfn.SWITCH(E954,"Bagor","35.18.14","Sukomoro",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4" s="13" t="s">
        <v>57</v>
      </c>
      <c r="F954" s="25" t="s">
        <v>1666</v>
      </c>
      <c r="G954" s="25" t="s">
        <v>1690</v>
      </c>
      <c r="H954" s="13" t="s">
        <v>9</v>
      </c>
      <c r="I954" s="14" t="s">
        <v>1485</v>
      </c>
      <c r="J954" s="34">
        <v>500</v>
      </c>
      <c r="K954" s="13" t="s">
        <v>1642</v>
      </c>
      <c r="L954" s="22">
        <v>187200000</v>
      </c>
      <c r="M954" s="46"/>
      <c r="N954" s="17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</row>
    <row r="955" spans="1:67" s="3" customFormat="1" x14ac:dyDescent="0.2">
      <c r="A955" s="14" t="s">
        <v>2986</v>
      </c>
      <c r="B955" s="14" t="s">
        <v>18</v>
      </c>
      <c r="C955" s="14">
        <v>2025</v>
      </c>
      <c r="D955" s="14" t="str">
        <f t="array" ref="D955">_xlfn.SWITCH(E955,"Bagor","35.18.14","Sukomoro",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5" s="13" t="s">
        <v>57</v>
      </c>
      <c r="F955" s="25" t="s">
        <v>1666</v>
      </c>
      <c r="G955" s="25" t="s">
        <v>1691</v>
      </c>
      <c r="H955" s="13" t="s">
        <v>9</v>
      </c>
      <c r="I955" s="14" t="s">
        <v>1485</v>
      </c>
      <c r="J955" s="34">
        <v>100</v>
      </c>
      <c r="K955" s="13" t="s">
        <v>1642</v>
      </c>
      <c r="L955" s="22">
        <v>37440000</v>
      </c>
      <c r="M955" s="46"/>
      <c r="N955" s="17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</row>
    <row r="956" spans="1:67" s="3" customFormat="1" x14ac:dyDescent="0.2">
      <c r="A956" s="14" t="s">
        <v>2986</v>
      </c>
      <c r="B956" s="14" t="s">
        <v>18</v>
      </c>
      <c r="C956" s="14">
        <v>2025</v>
      </c>
      <c r="D956" s="14" t="str">
        <f t="array" ref="D956">_xlfn.SWITCH(E956,"Bagor","35.18.14","Sukomoro",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956" s="13" t="s">
        <v>50</v>
      </c>
      <c r="F956" s="25" t="s">
        <v>868</v>
      </c>
      <c r="G956" s="25" t="s">
        <v>1692</v>
      </c>
      <c r="H956" s="13" t="s">
        <v>20</v>
      </c>
      <c r="I956" s="14" t="s">
        <v>166</v>
      </c>
      <c r="J956" s="34">
        <v>11530</v>
      </c>
      <c r="K956" s="13" t="s">
        <v>1312</v>
      </c>
      <c r="L956" s="22">
        <v>345900000</v>
      </c>
      <c r="M956" s="46"/>
      <c r="N956" s="17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</row>
    <row r="957" spans="1:67" s="3" customFormat="1" ht="20" x14ac:dyDescent="0.2">
      <c r="A957" s="14" t="s">
        <v>2986</v>
      </c>
      <c r="B957" s="14" t="s">
        <v>18</v>
      </c>
      <c r="C957" s="14">
        <v>2025</v>
      </c>
      <c r="D957" s="14" t="str">
        <f t="array" ref="D957">_xlfn.SWITCH(E957,"Jatikalen","35.18.20","Kertosono", "35.18.08","Lengkong","35.18.19","Loceret","35.18.04","Tanjunganom","35.18.11","Wilangan","35.18.15")</f>
        <v>35.18.11</v>
      </c>
      <c r="E957" s="13" t="s">
        <v>27</v>
      </c>
      <c r="F957" s="25" t="s">
        <v>1693</v>
      </c>
      <c r="G957" s="25" t="s">
        <v>1694</v>
      </c>
      <c r="H957" s="13" t="s">
        <v>20</v>
      </c>
      <c r="I957" s="25" t="s">
        <v>1695</v>
      </c>
      <c r="J957" s="49">
        <v>23040</v>
      </c>
      <c r="K957" s="13" t="s">
        <v>953</v>
      </c>
      <c r="L957" s="48">
        <v>529920000</v>
      </c>
      <c r="M957" s="46"/>
      <c r="N957" s="17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</row>
    <row r="958" spans="1:67" s="3" customFormat="1" x14ac:dyDescent="0.2">
      <c r="A958" s="14" t="s">
        <v>2986</v>
      </c>
      <c r="B958" s="14" t="s">
        <v>18</v>
      </c>
      <c r="C958" s="14">
        <v>2025</v>
      </c>
      <c r="D958" s="14" t="str">
        <f t="array" ref="D958">_xlfn.SWITCH(E958,"Bagor","35.18.14","Sukomoro",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58" s="13" t="s">
        <v>102</v>
      </c>
      <c r="F958" s="25" t="s">
        <v>1696</v>
      </c>
      <c r="G958" s="25" t="s">
        <v>1697</v>
      </c>
      <c r="H958" s="13" t="s">
        <v>20</v>
      </c>
      <c r="I958" s="25" t="s">
        <v>1698</v>
      </c>
      <c r="J958" s="49">
        <v>187200</v>
      </c>
      <c r="K958" s="13" t="s">
        <v>730</v>
      </c>
      <c r="L958" s="48">
        <v>1872000000</v>
      </c>
      <c r="M958" s="46"/>
      <c r="N958" s="17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</row>
    <row r="959" spans="1:67" s="3" customFormat="1" x14ac:dyDescent="0.2">
      <c r="A959" s="14" t="s">
        <v>2986</v>
      </c>
      <c r="B959" s="14" t="s">
        <v>18</v>
      </c>
      <c r="C959" s="14">
        <v>2025</v>
      </c>
      <c r="D959" s="14" t="str">
        <f t="array" ref="D959">_xlfn.SWITCH(E959,"Bagor","35.18.14","Sukomoro",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9" s="13" t="s">
        <v>65</v>
      </c>
      <c r="F959" s="25" t="s">
        <v>1699</v>
      </c>
      <c r="G959" s="25" t="s">
        <v>1700</v>
      </c>
      <c r="H959" s="13" t="s">
        <v>20</v>
      </c>
      <c r="I959" s="14" t="s">
        <v>1101</v>
      </c>
      <c r="J959" s="49">
        <v>1152</v>
      </c>
      <c r="K959" s="13" t="s">
        <v>1102</v>
      </c>
      <c r="L959" s="48">
        <v>53600000</v>
      </c>
      <c r="M959" s="46"/>
      <c r="N959" s="17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</row>
    <row r="960" spans="1:67" s="3" customFormat="1" x14ac:dyDescent="0.2">
      <c r="A960" s="14" t="s">
        <v>2986</v>
      </c>
      <c r="B960" s="14" t="s">
        <v>18</v>
      </c>
      <c r="C960" s="14">
        <v>2025</v>
      </c>
      <c r="D960" s="14" t="str">
        <f t="array" ref="D960">_xlfn.SWITCH(E960,"Jatikalen","35.18.20","Kertosono", "35.18.08","Lengkong","35.18.19","Loceret","35.18.04","Tanjunganom","35.18.11","Wilangan","35.18.15")</f>
        <v>35.18.08</v>
      </c>
      <c r="E960" s="13" t="s">
        <v>75</v>
      </c>
      <c r="F960" s="25" t="s">
        <v>1701</v>
      </c>
      <c r="G960" s="25" t="s">
        <v>1702</v>
      </c>
      <c r="H960" s="13" t="s">
        <v>20</v>
      </c>
      <c r="I960" s="25" t="s">
        <v>1703</v>
      </c>
      <c r="J960" s="49">
        <v>172800</v>
      </c>
      <c r="K960" s="13" t="s">
        <v>953</v>
      </c>
      <c r="L960" s="48">
        <v>1123200000</v>
      </c>
      <c r="M960" s="46"/>
      <c r="N960" s="17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</row>
    <row r="961" spans="1:67" s="3" customFormat="1" ht="20" x14ac:dyDescent="0.2">
      <c r="A961" s="14" t="s">
        <v>2986</v>
      </c>
      <c r="B961" s="14" t="s">
        <v>18</v>
      </c>
      <c r="C961" s="14">
        <v>2025</v>
      </c>
      <c r="D961" s="14" t="str">
        <f t="array" ref="D961">_xlfn.SWITCH(E961,"Jatikalen","35.18.20","Kertosono", "35.18.08","Lengkong","35.18.19","Loceret","35.18.04","Tanjunganom","35.18.11","Wilangan","35.18.15")</f>
        <v>35.18.04</v>
      </c>
      <c r="E961" s="13" t="s">
        <v>15</v>
      </c>
      <c r="F961" s="25" t="s">
        <v>1704</v>
      </c>
      <c r="G961" s="14" t="s">
        <v>1705</v>
      </c>
      <c r="H961" s="13" t="s">
        <v>20</v>
      </c>
      <c r="I961" s="25" t="s">
        <v>1698</v>
      </c>
      <c r="J961" s="49">
        <v>28800</v>
      </c>
      <c r="K961" s="13" t="s">
        <v>730</v>
      </c>
      <c r="L961" s="48">
        <v>176000000</v>
      </c>
      <c r="M961" s="46"/>
      <c r="N961" s="17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</row>
    <row r="962" spans="1:67" s="3" customFormat="1" x14ac:dyDescent="0.2">
      <c r="A962" s="14" t="s">
        <v>2986</v>
      </c>
      <c r="B962" s="14" t="s">
        <v>18</v>
      </c>
      <c r="C962" s="14">
        <v>2025</v>
      </c>
      <c r="D962" s="14" t="str">
        <f t="array" ref="D962">_xlfn.SWITCH(E962,"Bagor","35.18.14","Sukomoro",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2" s="13" t="s">
        <v>35</v>
      </c>
      <c r="F962" s="25" t="s">
        <v>1112</v>
      </c>
      <c r="G962" s="25" t="s">
        <v>1706</v>
      </c>
      <c r="H962" s="13" t="s">
        <v>20</v>
      </c>
      <c r="I962" s="14" t="s">
        <v>1101</v>
      </c>
      <c r="J962" s="49">
        <v>1500</v>
      </c>
      <c r="K962" s="13" t="s">
        <v>1102</v>
      </c>
      <c r="L962" s="48">
        <v>144000000</v>
      </c>
      <c r="M962" s="46"/>
      <c r="N962" s="17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</row>
    <row r="963" spans="1:67" s="3" customFormat="1" x14ac:dyDescent="0.2">
      <c r="A963" s="14" t="s">
        <v>2986</v>
      </c>
      <c r="B963" s="14" t="s">
        <v>18</v>
      </c>
      <c r="C963" s="14">
        <v>2025</v>
      </c>
      <c r="D963" s="14" t="str">
        <f t="array" ref="D963">_xlfn.SWITCH(E963,"Bagor","35.18.14","Sukomoro",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63" s="13" t="s">
        <v>72</v>
      </c>
      <c r="F963" s="25" t="s">
        <v>1707</v>
      </c>
      <c r="G963" s="25" t="s">
        <v>1708</v>
      </c>
      <c r="H963" s="13" t="s">
        <v>20</v>
      </c>
      <c r="I963" s="14" t="s">
        <v>1671</v>
      </c>
      <c r="J963" s="25">
        <v>864</v>
      </c>
      <c r="K963" s="13" t="s">
        <v>34</v>
      </c>
      <c r="L963" s="48">
        <v>158000000</v>
      </c>
      <c r="M963" s="46"/>
      <c r="N963" s="17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</row>
    <row r="964" spans="1:67" s="3" customFormat="1" x14ac:dyDescent="0.2">
      <c r="A964" s="14" t="s">
        <v>2986</v>
      </c>
      <c r="B964" s="14" t="s">
        <v>18</v>
      </c>
      <c r="C964" s="14">
        <v>2025</v>
      </c>
      <c r="D964" s="14" t="str">
        <f t="array" ref="D964">_xlfn.SWITCH(E964,"Bagor","35.18.14","Sukomoro",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4" s="13" t="s">
        <v>35</v>
      </c>
      <c r="F964" s="25" t="s">
        <v>1112</v>
      </c>
      <c r="G964" s="25" t="s">
        <v>1709</v>
      </c>
      <c r="H964" s="13" t="s">
        <v>20</v>
      </c>
      <c r="I964" s="14" t="s">
        <v>1671</v>
      </c>
      <c r="J964" s="25">
        <v>668</v>
      </c>
      <c r="K964" s="13" t="s">
        <v>34</v>
      </c>
      <c r="L964" s="48">
        <v>84480000</v>
      </c>
      <c r="M964" s="46"/>
      <c r="N964" s="17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</row>
    <row r="965" spans="1:67" s="3" customFormat="1" x14ac:dyDescent="0.2">
      <c r="A965" s="14" t="s">
        <v>2986</v>
      </c>
      <c r="B965" s="14" t="s">
        <v>18</v>
      </c>
      <c r="C965" s="14">
        <v>2025</v>
      </c>
      <c r="D965" s="14" t="str">
        <f t="array" ref="D965">_xlfn.SWITCH(E965,"Jatikalen","35.18.20","Kertosono", "35.18.08","Lengkong","35.18.19","Loceret","35.18.04","Tanjunganom","35.18.11","Wilangan","35.18.15")</f>
        <v>35.18.04</v>
      </c>
      <c r="E965" s="13" t="s">
        <v>15</v>
      </c>
      <c r="F965" s="25" t="s">
        <v>1710</v>
      </c>
      <c r="G965" s="25" t="s">
        <v>1711</v>
      </c>
      <c r="H965" s="13" t="s">
        <v>20</v>
      </c>
      <c r="I965" s="25" t="s">
        <v>166</v>
      </c>
      <c r="J965" s="49">
        <v>8640</v>
      </c>
      <c r="K965" s="13" t="s">
        <v>1312</v>
      </c>
      <c r="L965" s="48">
        <v>233280000</v>
      </c>
      <c r="M965" s="46"/>
      <c r="N965" s="17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</row>
    <row r="966" spans="1:67" s="3" customFormat="1" x14ac:dyDescent="0.2">
      <c r="A966" s="14" t="s">
        <v>2986</v>
      </c>
      <c r="B966" s="14" t="s">
        <v>18</v>
      </c>
      <c r="C966" s="14">
        <v>2025</v>
      </c>
      <c r="D966" s="14" t="str">
        <f t="array" ref="D966">_xlfn.SWITCH(E966,"Bagor","35.18.14","Sukomoro",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6" s="13" t="s">
        <v>7</v>
      </c>
      <c r="F966" s="25" t="s">
        <v>1712</v>
      </c>
      <c r="G966" s="25" t="s">
        <v>1713</v>
      </c>
      <c r="H966" s="13" t="s">
        <v>20</v>
      </c>
      <c r="I966" s="14" t="s">
        <v>1101</v>
      </c>
      <c r="J966" s="25">
        <v>120</v>
      </c>
      <c r="K966" s="13" t="s">
        <v>1102</v>
      </c>
      <c r="L966" s="48">
        <v>169200000</v>
      </c>
      <c r="M966" s="46"/>
      <c r="N966" s="17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</row>
    <row r="967" spans="1:67" s="3" customFormat="1" x14ac:dyDescent="0.2">
      <c r="A967" s="14" t="s">
        <v>2986</v>
      </c>
      <c r="B967" s="14" t="s">
        <v>18</v>
      </c>
      <c r="C967" s="14">
        <v>2025</v>
      </c>
      <c r="D967" s="14" t="str">
        <f t="array" ref="D967">_xlfn.SWITCH(E967,"Bagor","35.18.14","Sukomoro",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7" s="13" t="s">
        <v>7</v>
      </c>
      <c r="F967" s="25" t="s">
        <v>1712</v>
      </c>
      <c r="G967" s="25" t="s">
        <v>1714</v>
      </c>
      <c r="H967" s="13" t="s">
        <v>20</v>
      </c>
      <c r="I967" s="14" t="s">
        <v>1101</v>
      </c>
      <c r="J967" s="25">
        <v>36</v>
      </c>
      <c r="K967" s="13" t="s">
        <v>1102</v>
      </c>
      <c r="L967" s="48">
        <v>37200000</v>
      </c>
      <c r="M967" s="46"/>
      <c r="N967" s="17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</row>
    <row r="968" spans="1:67" s="3" customFormat="1" x14ac:dyDescent="0.2">
      <c r="A968" s="14" t="s">
        <v>2986</v>
      </c>
      <c r="B968" s="14" t="s">
        <v>18</v>
      </c>
      <c r="C968" s="14">
        <v>2025</v>
      </c>
      <c r="D968" s="14" t="str">
        <f t="array" ref="D968">_xlfn.SWITCH(E968,"Bagor","35.18.14","Sukomoro",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8" s="13" t="s">
        <v>24</v>
      </c>
      <c r="F968" s="25" t="s">
        <v>1715</v>
      </c>
      <c r="G968" s="25" t="s">
        <v>1716</v>
      </c>
      <c r="H968" s="13" t="s">
        <v>20</v>
      </c>
      <c r="I968" s="25" t="s">
        <v>229</v>
      </c>
      <c r="J968" s="49">
        <v>14400</v>
      </c>
      <c r="K968" s="13" t="s">
        <v>700</v>
      </c>
      <c r="L968" s="48">
        <v>1728000000</v>
      </c>
      <c r="M968" s="46"/>
      <c r="N968" s="17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</row>
    <row r="969" spans="1:67" s="3" customFormat="1" x14ac:dyDescent="0.2">
      <c r="A969" s="14" t="s">
        <v>2986</v>
      </c>
      <c r="B969" s="14" t="s">
        <v>18</v>
      </c>
      <c r="C969" s="14">
        <v>2025</v>
      </c>
      <c r="D969" s="14" t="str">
        <f t="array" ref="D969">_xlfn.SWITCH(E969,"Bagor","35.18.14","Sukomoro",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9" s="13" t="s">
        <v>24</v>
      </c>
      <c r="F969" s="25" t="s">
        <v>1717</v>
      </c>
      <c r="G969" s="25" t="s">
        <v>1718</v>
      </c>
      <c r="H969" s="13" t="s">
        <v>20</v>
      </c>
      <c r="I969" s="14" t="s">
        <v>1101</v>
      </c>
      <c r="J969" s="25">
        <v>75</v>
      </c>
      <c r="K969" s="13" t="s">
        <v>1102</v>
      </c>
      <c r="L969" s="48">
        <v>43200000</v>
      </c>
      <c r="M969" s="46"/>
      <c r="N969" s="17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</row>
    <row r="970" spans="1:67" s="3" customFormat="1" x14ac:dyDescent="0.2">
      <c r="A970" s="14" t="s">
        <v>2986</v>
      </c>
      <c r="B970" s="14" t="s">
        <v>18</v>
      </c>
      <c r="C970" s="14">
        <v>2025</v>
      </c>
      <c r="D970" s="14" t="str">
        <f t="array" ref="D970">_xlfn.SWITCH(E970,"Bagor","35.18.14","Sukomoro",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70" s="13" t="s">
        <v>72</v>
      </c>
      <c r="F970" s="25" t="s">
        <v>1719</v>
      </c>
      <c r="G970" s="25" t="s">
        <v>1720</v>
      </c>
      <c r="H970" s="13" t="s">
        <v>20</v>
      </c>
      <c r="I970" s="25" t="s">
        <v>781</v>
      </c>
      <c r="J970" s="49">
        <v>93600</v>
      </c>
      <c r="K970" s="13" t="s">
        <v>1721</v>
      </c>
      <c r="L970" s="48">
        <v>102960000</v>
      </c>
      <c r="M970" s="46"/>
      <c r="N970" s="17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</row>
    <row r="971" spans="1:67" s="3" customFormat="1" x14ac:dyDescent="0.2">
      <c r="A971" s="14" t="s">
        <v>2986</v>
      </c>
      <c r="B971" s="14" t="s">
        <v>18</v>
      </c>
      <c r="C971" s="14">
        <v>2025</v>
      </c>
      <c r="D971" s="14" t="str">
        <f t="array" ref="D971">_xlfn.SWITCH(E971,"Bagor","35.18.14","Sukomoro",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1" s="13" t="s">
        <v>84</v>
      </c>
      <c r="F971" s="25" t="s">
        <v>1722</v>
      </c>
      <c r="G971" s="25" t="s">
        <v>1723</v>
      </c>
      <c r="H971" s="13" t="s">
        <v>20</v>
      </c>
      <c r="I971" s="14" t="s">
        <v>1101</v>
      </c>
      <c r="J971" s="25">
        <v>180</v>
      </c>
      <c r="K971" s="13" t="s">
        <v>1102</v>
      </c>
      <c r="L971" s="48">
        <v>78000000</v>
      </c>
      <c r="M971" s="46"/>
      <c r="N971" s="17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</row>
    <row r="972" spans="1:67" s="3" customFormat="1" x14ac:dyDescent="0.2">
      <c r="A972" s="14" t="s">
        <v>2986</v>
      </c>
      <c r="B972" s="14" t="s">
        <v>18</v>
      </c>
      <c r="C972" s="14">
        <v>2025</v>
      </c>
      <c r="D972" s="14" t="str">
        <f t="array" ref="D972">_xlfn.SWITCH(E972,"Bagor","35.18.14","Sukomoro",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2" s="13" t="s">
        <v>84</v>
      </c>
      <c r="F972" s="25" t="s">
        <v>1724</v>
      </c>
      <c r="G972" s="25" t="s">
        <v>1725</v>
      </c>
      <c r="H972" s="13" t="s">
        <v>20</v>
      </c>
      <c r="I972" s="14" t="s">
        <v>1101</v>
      </c>
      <c r="J972" s="25">
        <v>95</v>
      </c>
      <c r="K972" s="13" t="s">
        <v>1102</v>
      </c>
      <c r="L972" s="48">
        <v>45600000</v>
      </c>
      <c r="M972" s="46"/>
      <c r="N972" s="17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</row>
    <row r="973" spans="1:67" s="3" customFormat="1" x14ac:dyDescent="0.2">
      <c r="A973" s="14" t="s">
        <v>2986</v>
      </c>
      <c r="B973" s="14" t="s">
        <v>18</v>
      </c>
      <c r="C973" s="14">
        <v>2025</v>
      </c>
      <c r="D973" s="14" t="str">
        <f t="array" ref="D973">_xlfn.SWITCH(E973,"Jatikalen","35.18.20","Kertosono", "35.18.08","Lengkong","35.18.19","Loceret","35.18.04","Tanjunganom","35.18.11","Wilangan","35.18.15")</f>
        <v>35.18.19</v>
      </c>
      <c r="E973" s="13" t="s">
        <v>30</v>
      </c>
      <c r="F973" s="25" t="s">
        <v>1726</v>
      </c>
      <c r="G973" s="25" t="s">
        <v>1727</v>
      </c>
      <c r="H973" s="13" t="s">
        <v>20</v>
      </c>
      <c r="I973" s="25" t="s">
        <v>1728</v>
      </c>
      <c r="J973" s="49">
        <v>5760</v>
      </c>
      <c r="K973" s="13" t="s">
        <v>953</v>
      </c>
      <c r="L973" s="48">
        <v>69120000</v>
      </c>
      <c r="M973" s="46"/>
      <c r="N973" s="17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</row>
    <row r="974" spans="1:67" s="3" customFormat="1" x14ac:dyDescent="0.2">
      <c r="A974" s="14" t="s">
        <v>2986</v>
      </c>
      <c r="B974" s="14" t="s">
        <v>18</v>
      </c>
      <c r="C974" s="14">
        <v>2025</v>
      </c>
      <c r="D974" s="14" t="str">
        <f t="array" ref="D974">_xlfn.SWITCH(E974,"Jatikalen","35.18.20","Kertosono", "35.18.08","Lengkong","35.18.19","Loceret","35.18.04","Tanjunganom","35.18.11","Wilangan","35.18.15")</f>
        <v>35.18.19</v>
      </c>
      <c r="E974" s="13" t="s">
        <v>30</v>
      </c>
      <c r="F974" s="25" t="s">
        <v>1729</v>
      </c>
      <c r="G974" s="25" t="s">
        <v>1730</v>
      </c>
      <c r="H974" s="13" t="s">
        <v>20</v>
      </c>
      <c r="I974" s="14" t="s">
        <v>1101</v>
      </c>
      <c r="J974" s="25">
        <v>950</v>
      </c>
      <c r="K974" s="13" t="s">
        <v>1102</v>
      </c>
      <c r="L974" s="48">
        <v>244000000</v>
      </c>
      <c r="M974" s="46"/>
      <c r="N974" s="17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</row>
    <row r="975" spans="1:67" s="3" customFormat="1" x14ac:dyDescent="0.2">
      <c r="A975" s="14" t="s">
        <v>2986</v>
      </c>
      <c r="B975" s="14" t="s">
        <v>18</v>
      </c>
      <c r="C975" s="14">
        <v>2025</v>
      </c>
      <c r="D975" s="14" t="str">
        <f t="array" ref="D975">_xlfn.SWITCH(E975,"Bagor","35.18.14","Sukomoro",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5" s="13" t="s">
        <v>119</v>
      </c>
      <c r="F975" s="25" t="s">
        <v>1731</v>
      </c>
      <c r="G975" s="25" t="s">
        <v>1732</v>
      </c>
      <c r="H975" s="13" t="s">
        <v>20</v>
      </c>
      <c r="I975" s="14" t="s">
        <v>1101</v>
      </c>
      <c r="J975" s="25">
        <v>840</v>
      </c>
      <c r="K975" s="13" t="s">
        <v>1102</v>
      </c>
      <c r="L975" s="48">
        <v>214200000</v>
      </c>
      <c r="M975" s="46"/>
      <c r="N975" s="17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</row>
    <row r="976" spans="1:67" s="3" customFormat="1" x14ac:dyDescent="0.2">
      <c r="A976" s="14" t="s">
        <v>2986</v>
      </c>
      <c r="B976" s="14" t="s">
        <v>18</v>
      </c>
      <c r="C976" s="14">
        <v>2025</v>
      </c>
      <c r="D976" s="14" t="str">
        <f t="array" ref="D976">_xlfn.SWITCH(E976,"Bagor","35.18.14","Sukomoro",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976" s="13" t="s">
        <v>583</v>
      </c>
      <c r="F976" s="25" t="s">
        <v>1055</v>
      </c>
      <c r="G976" s="25" t="s">
        <v>1733</v>
      </c>
      <c r="H976" s="13" t="s">
        <v>20</v>
      </c>
      <c r="I976" s="14" t="s">
        <v>1101</v>
      </c>
      <c r="J976" s="25">
        <v>84</v>
      </c>
      <c r="K976" s="13" t="s">
        <v>1057</v>
      </c>
      <c r="L976" s="48">
        <v>210000000</v>
      </c>
      <c r="M976" s="46"/>
      <c r="N976" s="17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</row>
    <row r="977" spans="1:67" s="3" customFormat="1" x14ac:dyDescent="0.2">
      <c r="A977" s="14" t="s">
        <v>2986</v>
      </c>
      <c r="B977" s="14" t="s">
        <v>18</v>
      </c>
      <c r="C977" s="14">
        <v>2025</v>
      </c>
      <c r="D977" s="14" t="str">
        <f t="array" ref="D977">_xlfn.SWITCH(E977,"Bagor","35.18.14","Sukomoro",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7" s="13" t="s">
        <v>119</v>
      </c>
      <c r="F977" s="25" t="s">
        <v>1734</v>
      </c>
      <c r="G977" s="25" t="s">
        <v>1735</v>
      </c>
      <c r="H977" s="13" t="s">
        <v>20</v>
      </c>
      <c r="I977" s="14" t="s">
        <v>1101</v>
      </c>
      <c r="J977" s="25">
        <v>36</v>
      </c>
      <c r="K977" s="13" t="s">
        <v>1102</v>
      </c>
      <c r="L977" s="48">
        <v>72000000</v>
      </c>
      <c r="M977" s="46"/>
      <c r="N977" s="17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</row>
    <row r="978" spans="1:67" s="3" customFormat="1" x14ac:dyDescent="0.2">
      <c r="A978" s="14" t="s">
        <v>2986</v>
      </c>
      <c r="B978" s="14" t="s">
        <v>18</v>
      </c>
      <c r="C978" s="14">
        <v>2025</v>
      </c>
      <c r="D978" s="14" t="str">
        <f t="array" ref="D978">_xlfn.SWITCH(E978,"Bagor","35.18.14","Sukomoro",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8" s="13" t="s">
        <v>119</v>
      </c>
      <c r="F978" s="25" t="s">
        <v>1736</v>
      </c>
      <c r="G978" s="25" t="s">
        <v>1737</v>
      </c>
      <c r="H978" s="13" t="s">
        <v>20</v>
      </c>
      <c r="I978" s="14" t="s">
        <v>1101</v>
      </c>
      <c r="J978" s="25">
        <v>84</v>
      </c>
      <c r="K978" s="13" t="s">
        <v>1102</v>
      </c>
      <c r="L978" s="48">
        <v>81600000</v>
      </c>
      <c r="M978" s="46"/>
      <c r="N978" s="17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</row>
    <row r="979" spans="1:67" s="3" customFormat="1" x14ac:dyDescent="0.2">
      <c r="A979" s="14" t="s">
        <v>2986</v>
      </c>
      <c r="B979" s="14" t="s">
        <v>18</v>
      </c>
      <c r="C979" s="14">
        <v>2025</v>
      </c>
      <c r="D979" s="14" t="str">
        <f t="array" ref="D979">_xlfn.SWITCH(E979,"Bagor","35.18.14","Sukomoro",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9" s="13" t="s">
        <v>65</v>
      </c>
      <c r="F979" s="25" t="s">
        <v>1738</v>
      </c>
      <c r="G979" s="25" t="s">
        <v>1739</v>
      </c>
      <c r="H979" s="13" t="s">
        <v>20</v>
      </c>
      <c r="I979" s="25" t="s">
        <v>659</v>
      </c>
      <c r="J979" s="49">
        <v>192000</v>
      </c>
      <c r="K979" s="13" t="s">
        <v>730</v>
      </c>
      <c r="L979" s="48">
        <v>288000000</v>
      </c>
      <c r="M979" s="46"/>
      <c r="N979" s="17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</row>
    <row r="980" spans="1:67" s="3" customFormat="1" x14ac:dyDescent="0.2">
      <c r="A980" s="14" t="s">
        <v>2986</v>
      </c>
      <c r="B980" s="14" t="s">
        <v>18</v>
      </c>
      <c r="C980" s="14">
        <v>2025</v>
      </c>
      <c r="D980" s="14" t="str">
        <f t="array" ref="D980">_xlfn.SWITCH(E980,"Bagor","35.18.14","Sukomoro",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0" s="13" t="s">
        <v>102</v>
      </c>
      <c r="F980" s="25" t="s">
        <v>1740</v>
      </c>
      <c r="G980" s="25" t="s">
        <v>1741</v>
      </c>
      <c r="H980" s="13" t="s">
        <v>20</v>
      </c>
      <c r="I980" s="25" t="s">
        <v>1742</v>
      </c>
      <c r="J980" s="49">
        <v>6720</v>
      </c>
      <c r="K980" s="13" t="s">
        <v>1743</v>
      </c>
      <c r="L980" s="48">
        <v>35000000</v>
      </c>
      <c r="M980" s="46"/>
      <c r="N980" s="17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</row>
    <row r="981" spans="1:67" s="3" customFormat="1" x14ac:dyDescent="0.2">
      <c r="A981" s="14" t="s">
        <v>2986</v>
      </c>
      <c r="B981" s="14" t="s">
        <v>18</v>
      </c>
      <c r="C981" s="14">
        <v>2025</v>
      </c>
      <c r="D981" s="14" t="str">
        <f t="array" ref="D981">_xlfn.SWITCH(E981,"Bagor","35.18.14","Sukomoro",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1" s="13" t="s">
        <v>98</v>
      </c>
      <c r="F981" s="25" t="s">
        <v>1307</v>
      </c>
      <c r="G981" s="25" t="s">
        <v>1744</v>
      </c>
      <c r="H981" s="13" t="s">
        <v>20</v>
      </c>
      <c r="I981" s="14" t="s">
        <v>1101</v>
      </c>
      <c r="J981" s="25">
        <v>144</v>
      </c>
      <c r="K981" s="13" t="s">
        <v>1011</v>
      </c>
      <c r="L981" s="48">
        <v>144000000</v>
      </c>
      <c r="M981" s="46"/>
      <c r="N981" s="17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</row>
    <row r="982" spans="1:67" s="3" customFormat="1" x14ac:dyDescent="0.2">
      <c r="A982" s="14" t="s">
        <v>2986</v>
      </c>
      <c r="B982" s="14" t="s">
        <v>18</v>
      </c>
      <c r="C982" s="14">
        <v>2025</v>
      </c>
      <c r="D982" s="14" t="str">
        <f t="array" ref="D982">_xlfn.SWITCH(E982,"Jatikalen","35.18.20","Kertosono", "35.18.08","Lengkong","35.18.19","Loceret","35.18.04","Tanjunganom","35.18.11","Wilangan","35.18.15")</f>
        <v>35.18.11</v>
      </c>
      <c r="E982" s="13" t="s">
        <v>27</v>
      </c>
      <c r="F982" s="25" t="s">
        <v>1189</v>
      </c>
      <c r="G982" s="25" t="s">
        <v>1745</v>
      </c>
      <c r="H982" s="13" t="s">
        <v>20</v>
      </c>
      <c r="I982" s="25" t="s">
        <v>1746</v>
      </c>
      <c r="J982" s="49">
        <v>230400</v>
      </c>
      <c r="K982" s="13" t="s">
        <v>730</v>
      </c>
      <c r="L982" s="48">
        <v>1820160000</v>
      </c>
      <c r="M982" s="46"/>
      <c r="N982" s="17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</row>
    <row r="983" spans="1:67" s="3" customFormat="1" x14ac:dyDescent="0.2">
      <c r="A983" s="14" t="s">
        <v>2986</v>
      </c>
      <c r="B983" s="14" t="s">
        <v>18</v>
      </c>
      <c r="C983" s="14">
        <v>2025</v>
      </c>
      <c r="D983" s="14" t="str">
        <f t="array" ref="D983">_xlfn.SWITCH(E983,"Bagor","35.18.14","Sukomoro",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3" s="13" t="s">
        <v>98</v>
      </c>
      <c r="F983" s="25" t="s">
        <v>1128</v>
      </c>
      <c r="G983" s="25" t="s">
        <v>1747</v>
      </c>
      <c r="H983" s="13" t="s">
        <v>20</v>
      </c>
      <c r="I983" s="25" t="s">
        <v>1032</v>
      </c>
      <c r="J983" s="25">
        <v>5000</v>
      </c>
      <c r="K983" s="13" t="s">
        <v>1748</v>
      </c>
      <c r="L983" s="48">
        <v>360000000</v>
      </c>
      <c r="M983" s="46"/>
      <c r="N983" s="17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</row>
    <row r="984" spans="1:67" s="3" customFormat="1" x14ac:dyDescent="0.2">
      <c r="A984" s="14" t="s">
        <v>2986</v>
      </c>
      <c r="B984" s="14" t="s">
        <v>18</v>
      </c>
      <c r="C984" s="14">
        <v>2025</v>
      </c>
      <c r="D984" s="14" t="str">
        <f t="array" ref="D984">_xlfn.SWITCH(E984,"Bagor","35.18.14","Sukomoro",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4" s="13" t="s">
        <v>65</v>
      </c>
      <c r="F984" s="25" t="s">
        <v>1305</v>
      </c>
      <c r="G984" s="25" t="s">
        <v>1749</v>
      </c>
      <c r="H984" s="13" t="s">
        <v>9</v>
      </c>
      <c r="I984" s="14" t="s">
        <v>1671</v>
      </c>
      <c r="J984" s="49">
        <v>864</v>
      </c>
      <c r="K984" s="13" t="s">
        <v>34</v>
      </c>
      <c r="L984" s="48">
        <v>158000000</v>
      </c>
      <c r="M984" s="46"/>
      <c r="N984" s="17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</row>
    <row r="985" spans="1:67" s="3" customFormat="1" x14ac:dyDescent="0.2">
      <c r="A985" s="14" t="s">
        <v>2986</v>
      </c>
      <c r="B985" s="14" t="s">
        <v>18</v>
      </c>
      <c r="C985" s="14">
        <v>2025</v>
      </c>
      <c r="D985" s="14" t="str">
        <f t="array" ref="D985">_xlfn.SWITCH(E985,"Jatikalen","35.18.20","Kertosono", "35.18.08","Lengkong","35.18.19","Loceret","35.18.04","Tanjunganom","35.18.11","Wilangan","35.18.15")</f>
        <v>35.18.11</v>
      </c>
      <c r="E985" s="13" t="s">
        <v>27</v>
      </c>
      <c r="F985" s="25" t="s">
        <v>1750</v>
      </c>
      <c r="G985" s="25" t="s">
        <v>1751</v>
      </c>
      <c r="H985" s="13" t="s">
        <v>9</v>
      </c>
      <c r="I985" s="25" t="s">
        <v>121</v>
      </c>
      <c r="J985" s="25">
        <v>2880</v>
      </c>
      <c r="K985" s="13" t="s">
        <v>700</v>
      </c>
      <c r="L985" s="48">
        <v>72000000</v>
      </c>
      <c r="M985" s="46"/>
      <c r="N985" s="17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</row>
    <row r="986" spans="1:67" s="3" customFormat="1" x14ac:dyDescent="0.2">
      <c r="A986" s="14" t="s">
        <v>2986</v>
      </c>
      <c r="B986" s="14" t="s">
        <v>18</v>
      </c>
      <c r="C986" s="14">
        <v>2025</v>
      </c>
      <c r="D986" s="14" t="str">
        <f t="array" ref="D986">_xlfn.SWITCH(E986,"Jatikalen","35.18.20","Kertosono", "35.18.08","Lengkong","35.18.19","Loceret","35.18.04","Tanjunganom","35.18.11","Wilangan","35.18.15")</f>
        <v>35.18.11</v>
      </c>
      <c r="E986" s="13" t="s">
        <v>27</v>
      </c>
      <c r="F986" s="25" t="s">
        <v>1310</v>
      </c>
      <c r="G986" s="25" t="s">
        <v>1752</v>
      </c>
      <c r="H986" s="13" t="s">
        <v>9</v>
      </c>
      <c r="I986" s="25" t="s">
        <v>1753</v>
      </c>
      <c r="J986" s="49">
        <v>9600</v>
      </c>
      <c r="K986" s="13" t="s">
        <v>872</v>
      </c>
      <c r="L986" s="48">
        <v>720000000</v>
      </c>
      <c r="M986" s="46"/>
      <c r="N986" s="17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</row>
    <row r="987" spans="1:67" s="3" customFormat="1" x14ac:dyDescent="0.2">
      <c r="A987" s="14" t="s">
        <v>2986</v>
      </c>
      <c r="B987" s="14" t="s">
        <v>18</v>
      </c>
      <c r="C987" s="14">
        <v>2025</v>
      </c>
      <c r="D987" s="14" t="str">
        <f t="array" ref="D987">_xlfn.SWITCH(E987,"Bagor","35.18.14","Sukomoro",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7" s="13" t="s">
        <v>98</v>
      </c>
      <c r="F987" s="25" t="s">
        <v>1754</v>
      </c>
      <c r="G987" s="25" t="s">
        <v>1755</v>
      </c>
      <c r="H987" s="13" t="s">
        <v>9</v>
      </c>
      <c r="I987" s="14" t="s">
        <v>1101</v>
      </c>
      <c r="J987" s="25">
        <v>360</v>
      </c>
      <c r="K987" s="13" t="s">
        <v>1102</v>
      </c>
      <c r="L987" s="48">
        <v>720000000</v>
      </c>
      <c r="M987" s="46"/>
      <c r="N987" s="17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</row>
    <row r="988" spans="1:67" s="3" customFormat="1" x14ac:dyDescent="0.2">
      <c r="A988" s="14" t="s">
        <v>2986</v>
      </c>
      <c r="B988" s="14" t="s">
        <v>18</v>
      </c>
      <c r="C988" s="14">
        <v>2025</v>
      </c>
      <c r="D988" s="14" t="str">
        <f t="array" ref="D988">_xlfn.SWITCH(E988,"Bagor","35.18.14","Sukomoro",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8" s="13" t="s">
        <v>98</v>
      </c>
      <c r="F988" s="25" t="s">
        <v>1754</v>
      </c>
      <c r="G988" s="25" t="s">
        <v>1756</v>
      </c>
      <c r="H988" s="13" t="s">
        <v>9</v>
      </c>
      <c r="I988" s="14" t="s">
        <v>1101</v>
      </c>
      <c r="J988" s="49">
        <v>288</v>
      </c>
      <c r="K988" s="13" t="s">
        <v>1011</v>
      </c>
      <c r="L988" s="48">
        <v>100800000</v>
      </c>
      <c r="M988" s="46"/>
      <c r="N988" s="17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</row>
    <row r="989" spans="1:67" s="3" customFormat="1" x14ac:dyDescent="0.2">
      <c r="A989" s="14" t="s">
        <v>2986</v>
      </c>
      <c r="B989" s="14" t="s">
        <v>18</v>
      </c>
      <c r="C989" s="14">
        <v>2025</v>
      </c>
      <c r="D989" s="14" t="str">
        <f t="array" ref="D989">_xlfn.SWITCH(E989,"Bagor","35.18.14","Sukomoro",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9" s="13" t="s">
        <v>98</v>
      </c>
      <c r="F989" s="25" t="s">
        <v>1754</v>
      </c>
      <c r="G989" s="25" t="s">
        <v>1757</v>
      </c>
      <c r="H989" s="13" t="s">
        <v>9</v>
      </c>
      <c r="I989" s="14" t="s">
        <v>1101</v>
      </c>
      <c r="J989" s="25">
        <v>960</v>
      </c>
      <c r="K989" s="13" t="s">
        <v>1102</v>
      </c>
      <c r="L989" s="48">
        <v>244000000</v>
      </c>
      <c r="M989" s="46"/>
      <c r="N989" s="17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</row>
    <row r="990" spans="1:67" s="3" customFormat="1" x14ac:dyDescent="0.2">
      <c r="A990" s="14" t="s">
        <v>2986</v>
      </c>
      <c r="B990" s="14" t="s">
        <v>18</v>
      </c>
      <c r="C990" s="14">
        <v>2025</v>
      </c>
      <c r="D990" s="14" t="str">
        <f t="array" ref="D990">_xlfn.SWITCH(E990,"Bagor","35.18.14","Sukomoro",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90" s="13" t="s">
        <v>98</v>
      </c>
      <c r="F990" s="42" t="s">
        <v>1758</v>
      </c>
      <c r="G990" s="42" t="s">
        <v>1759</v>
      </c>
      <c r="H990" s="13" t="s">
        <v>9</v>
      </c>
      <c r="I990" s="25" t="s">
        <v>1760</v>
      </c>
      <c r="J990" s="49">
        <v>360000</v>
      </c>
      <c r="K990" s="13" t="s">
        <v>730</v>
      </c>
      <c r="L990" s="48">
        <v>180000000</v>
      </c>
      <c r="M990" s="46"/>
      <c r="N990" s="17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</row>
    <row r="991" spans="1:67" s="3" customFormat="1" x14ac:dyDescent="0.2">
      <c r="A991" s="14" t="s">
        <v>2986</v>
      </c>
      <c r="B991" s="14" t="s">
        <v>18</v>
      </c>
      <c r="C991" s="14">
        <v>2025</v>
      </c>
      <c r="D991" s="14" t="str">
        <f t="array" ref="D991">_xlfn.SWITCH(E991,"Bagor","35.18.14","Sukomoro",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1" s="13" t="s">
        <v>102</v>
      </c>
      <c r="F991" s="25" t="s">
        <v>1761</v>
      </c>
      <c r="G991" s="25" t="s">
        <v>1762</v>
      </c>
      <c r="H991" s="13" t="s">
        <v>9</v>
      </c>
      <c r="I991" s="42" t="s">
        <v>1763</v>
      </c>
      <c r="J991" s="42">
        <v>7200</v>
      </c>
      <c r="K991" s="52" t="s">
        <v>1102</v>
      </c>
      <c r="L991" s="48">
        <v>560000000</v>
      </c>
      <c r="M991" s="46"/>
      <c r="N991" s="17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</row>
    <row r="992" spans="1:67" s="3" customFormat="1" x14ac:dyDescent="0.2">
      <c r="A992" s="14" t="s">
        <v>2986</v>
      </c>
      <c r="B992" s="14" t="s">
        <v>18</v>
      </c>
      <c r="C992" s="14">
        <v>2025</v>
      </c>
      <c r="D992" s="14" t="str">
        <f t="array" ref="D992">_xlfn.SWITCH(E992,"Jatikalen","35.18.20","Kertosono", "35.18.08","Lengkong","35.18.19","Loceret","35.18.04","Tanjunganom","35.18.11","Wilangan","35.18.15")</f>
        <v>35.18.11</v>
      </c>
      <c r="E992" s="13" t="s">
        <v>27</v>
      </c>
      <c r="F992" s="25" t="s">
        <v>1764</v>
      </c>
      <c r="G992" s="25" t="s">
        <v>1765</v>
      </c>
      <c r="H992" s="13" t="s">
        <v>9</v>
      </c>
      <c r="I992" s="14" t="s">
        <v>1101</v>
      </c>
      <c r="J992" s="25">
        <v>950</v>
      </c>
      <c r="K992" s="13" t="s">
        <v>1102</v>
      </c>
      <c r="L992" s="48">
        <v>244000000</v>
      </c>
      <c r="M992" s="46"/>
      <c r="N992" s="17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</row>
    <row r="993" spans="1:67" s="3" customFormat="1" x14ac:dyDescent="0.2">
      <c r="A993" s="14" t="s">
        <v>2986</v>
      </c>
      <c r="B993" s="14" t="s">
        <v>18</v>
      </c>
      <c r="C993" s="14">
        <v>2025</v>
      </c>
      <c r="D993" s="14" t="str">
        <f t="array" ref="D993">_xlfn.SWITCH(E993,"Jatikalen","35.18.20","Kertosono", "35.18.08","Lengkong","35.18.19","Loceret","35.18.04","Tanjunganom","35.18.11","Wilangan","35.18.15")</f>
        <v>35.18.19</v>
      </c>
      <c r="E993" s="13" t="s">
        <v>30</v>
      </c>
      <c r="F993" s="25" t="s">
        <v>1766</v>
      </c>
      <c r="G993" s="25" t="s">
        <v>1767</v>
      </c>
      <c r="H993" s="13" t="s">
        <v>9</v>
      </c>
      <c r="I993" s="25" t="s">
        <v>1510</v>
      </c>
      <c r="J993" s="25">
        <v>4320</v>
      </c>
      <c r="K993" s="13" t="s">
        <v>953</v>
      </c>
      <c r="L993" s="48">
        <v>373200000</v>
      </c>
      <c r="M993" s="46"/>
      <c r="N993" s="17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</row>
    <row r="994" spans="1:67" s="3" customFormat="1" x14ac:dyDescent="0.2">
      <c r="A994" s="14" t="s">
        <v>2986</v>
      </c>
      <c r="B994" s="14" t="s">
        <v>18</v>
      </c>
      <c r="C994" s="14">
        <v>2025</v>
      </c>
      <c r="D994" s="14" t="str">
        <f t="array" ref="D994">_xlfn.SWITCH(E994,"Jatikalen","35.18.20","Kertosono", "35.18.08","Lengkong","35.18.19","Loceret","35.18.04","Tanjunganom","35.18.11","Wilangan","35.18.15")</f>
        <v>35.18.19</v>
      </c>
      <c r="E994" s="13" t="s">
        <v>30</v>
      </c>
      <c r="F994" s="25" t="s">
        <v>1766</v>
      </c>
      <c r="G994" s="25" t="s">
        <v>1768</v>
      </c>
      <c r="H994" s="13" t="s">
        <v>9</v>
      </c>
      <c r="I994" s="25" t="s">
        <v>1510</v>
      </c>
      <c r="J994" s="25">
        <v>2400</v>
      </c>
      <c r="K994" s="13" t="s">
        <v>953</v>
      </c>
      <c r="L994" s="48">
        <v>115200000</v>
      </c>
      <c r="M994" s="46"/>
      <c r="N994" s="17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</row>
    <row r="995" spans="1:67" s="3" customFormat="1" x14ac:dyDescent="0.2">
      <c r="A995" s="14" t="s">
        <v>2986</v>
      </c>
      <c r="B995" s="14" t="s">
        <v>18</v>
      </c>
      <c r="C995" s="14">
        <v>2025</v>
      </c>
      <c r="D995" s="14" t="str">
        <f t="array" ref="D995">_xlfn.SWITCH(E995,"Jatikalen","35.18.20","Kertosono", "35.18.08","Lengkong","35.18.19","Loceret","35.18.04","Tanjunganom","35.18.11","Wilangan","35.18.15")</f>
        <v>35.18.19</v>
      </c>
      <c r="E995" s="13" t="s">
        <v>30</v>
      </c>
      <c r="F995" s="25" t="s">
        <v>1766</v>
      </c>
      <c r="G995" s="25" t="s">
        <v>1769</v>
      </c>
      <c r="H995" s="13" t="s">
        <v>9</v>
      </c>
      <c r="I995" s="25" t="s">
        <v>1510</v>
      </c>
      <c r="J995" s="25">
        <v>4320</v>
      </c>
      <c r="K995" s="13" t="s">
        <v>953</v>
      </c>
      <c r="L995" s="48">
        <v>96000000</v>
      </c>
      <c r="M995" s="46"/>
      <c r="N995" s="17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</row>
    <row r="996" spans="1:67" s="3" customFormat="1" x14ac:dyDescent="0.2">
      <c r="A996" s="14" t="s">
        <v>2986</v>
      </c>
      <c r="B996" s="14" t="s">
        <v>18</v>
      </c>
      <c r="C996" s="14">
        <v>2025</v>
      </c>
      <c r="D996" s="14" t="str">
        <f t="array" ref="D996">_xlfn.SWITCH(E996,"Jatikalen","35.18.20","Kertosono", "35.18.08","Lengkong","35.18.19","Loceret","35.18.04","Tanjunganom","35.18.11","Wilangan","35.18.15")</f>
        <v>35.18.19</v>
      </c>
      <c r="E996" s="13" t="s">
        <v>30</v>
      </c>
      <c r="F996" s="25" t="s">
        <v>1766</v>
      </c>
      <c r="G996" s="25" t="s">
        <v>1770</v>
      </c>
      <c r="H996" s="13" t="s">
        <v>9</v>
      </c>
      <c r="I996" s="25" t="s">
        <v>1510</v>
      </c>
      <c r="J996" s="25">
        <v>4320</v>
      </c>
      <c r="K996" s="13" t="s">
        <v>953</v>
      </c>
      <c r="L996" s="48">
        <v>374400000</v>
      </c>
      <c r="M996" s="46"/>
      <c r="N996" s="17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</row>
    <row r="997" spans="1:67" s="3" customFormat="1" x14ac:dyDescent="0.2">
      <c r="A997" s="14" t="s">
        <v>2986</v>
      </c>
      <c r="B997" s="14" t="s">
        <v>18</v>
      </c>
      <c r="C997" s="14">
        <v>2025</v>
      </c>
      <c r="D997" s="14" t="str">
        <f t="array" ref="D997">_xlfn.SWITCH(E997,"Jatikalen","35.18.20","Kertosono", "35.18.08","Lengkong","35.18.19","Loceret","35.18.04","Tanjunganom","35.18.11","Wilangan","35.18.15")</f>
        <v>35.18.19</v>
      </c>
      <c r="E997" s="13" t="s">
        <v>30</v>
      </c>
      <c r="F997" s="25" t="s">
        <v>1766</v>
      </c>
      <c r="G997" s="25" t="s">
        <v>1771</v>
      </c>
      <c r="H997" s="13" t="s">
        <v>9</v>
      </c>
      <c r="I997" s="25" t="s">
        <v>1510</v>
      </c>
      <c r="J997" s="25">
        <v>1440</v>
      </c>
      <c r="K997" s="13" t="s">
        <v>953</v>
      </c>
      <c r="L997" s="48">
        <v>61056000</v>
      </c>
      <c r="M997" s="46"/>
      <c r="N997" s="17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</row>
    <row r="998" spans="1:67" s="3" customFormat="1" x14ac:dyDescent="0.2">
      <c r="A998" s="14" t="s">
        <v>2986</v>
      </c>
      <c r="B998" s="14" t="s">
        <v>18</v>
      </c>
      <c r="C998" s="14">
        <v>2025</v>
      </c>
      <c r="D998" s="14" t="str">
        <f t="array" ref="D998">_xlfn.SWITCH(E998,"Jatikalen","35.18.20","Kertosono", "35.18.08","Lengkong","35.18.19","Loceret","35.18.04","Tanjunganom","35.18.11","Wilangan","35.18.15")</f>
        <v>35.18.08</v>
      </c>
      <c r="E998" s="13" t="s">
        <v>75</v>
      </c>
      <c r="F998" s="25" t="s">
        <v>1772</v>
      </c>
      <c r="G998" s="25" t="s">
        <v>1773</v>
      </c>
      <c r="H998" s="13" t="s">
        <v>9</v>
      </c>
      <c r="I998" s="25" t="s">
        <v>823</v>
      </c>
      <c r="J998" s="49">
        <v>8400</v>
      </c>
      <c r="K998" s="13" t="s">
        <v>700</v>
      </c>
      <c r="L998" s="48">
        <v>94080000</v>
      </c>
      <c r="M998" s="46"/>
      <c r="N998" s="17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</row>
    <row r="999" spans="1:67" s="3" customFormat="1" x14ac:dyDescent="0.2">
      <c r="A999" s="14" t="s">
        <v>2986</v>
      </c>
      <c r="B999" s="14" t="s">
        <v>18</v>
      </c>
      <c r="C999" s="14">
        <v>2025</v>
      </c>
      <c r="D999" s="14" t="str">
        <f t="array" ref="D999">_xlfn.SWITCH(E999,"Jatikalen","35.18.20","Kertosono", "35.18.08","Lengkong","35.18.19","Loceret","35.18.04","Tanjunganom","35.18.11","Wilangan","35.18.15")</f>
        <v>35.18.08</v>
      </c>
      <c r="E999" s="13" t="s">
        <v>75</v>
      </c>
      <c r="F999" s="25" t="s">
        <v>1772</v>
      </c>
      <c r="G999" s="25" t="s">
        <v>1774</v>
      </c>
      <c r="H999" s="13" t="s">
        <v>9</v>
      </c>
      <c r="I999" s="25" t="s">
        <v>823</v>
      </c>
      <c r="J999" s="49">
        <v>23520</v>
      </c>
      <c r="K999" s="13" t="s">
        <v>700</v>
      </c>
      <c r="L999" s="48">
        <v>228480000</v>
      </c>
      <c r="M999" s="46"/>
      <c r="N999" s="17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</row>
    <row r="1000" spans="1:67" s="3" customFormat="1" x14ac:dyDescent="0.2">
      <c r="A1000" s="14" t="s">
        <v>2986</v>
      </c>
      <c r="B1000" s="14" t="s">
        <v>18</v>
      </c>
      <c r="C1000" s="14">
        <v>2025</v>
      </c>
      <c r="D1000" s="14" t="str">
        <f t="array" ref="D1000">_xlfn.SWITCH(E1000,"Jatikalen","35.18.20","Kertosono", "35.18.08","Lengkong","35.18.19","Loceret","35.18.04","Tanjunganom","35.18.11","Wilangan","35.18.15")</f>
        <v>35.18.08</v>
      </c>
      <c r="E1000" s="13" t="s">
        <v>75</v>
      </c>
      <c r="F1000" s="25" t="s">
        <v>1772</v>
      </c>
      <c r="G1000" s="25" t="s">
        <v>1775</v>
      </c>
      <c r="H1000" s="13" t="s">
        <v>9</v>
      </c>
      <c r="I1000" s="25" t="s">
        <v>823</v>
      </c>
      <c r="J1000" s="49">
        <v>33600</v>
      </c>
      <c r="K1000" s="13" t="s">
        <v>700</v>
      </c>
      <c r="L1000" s="48">
        <v>403200000</v>
      </c>
      <c r="M1000" s="46"/>
      <c r="N1000" s="17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</row>
    <row r="1001" spans="1:67" s="3" customFormat="1" x14ac:dyDescent="0.2">
      <c r="A1001" s="14" t="s">
        <v>2986</v>
      </c>
      <c r="B1001" s="14" t="s">
        <v>18</v>
      </c>
      <c r="C1001" s="14">
        <v>2025</v>
      </c>
      <c r="D1001" s="14" t="str">
        <f t="array" ref="D1001">_xlfn.SWITCH(E1001,"Jatikalen","35.18.20","Kertosono", "35.18.08","Lengkong","35.18.19","Loceret","35.18.04","Tanjunganom","35.18.11","Wilangan","35.18.15")</f>
        <v>35.18.08</v>
      </c>
      <c r="E1001" s="13" t="s">
        <v>75</v>
      </c>
      <c r="F1001" s="25" t="s">
        <v>1772</v>
      </c>
      <c r="G1001" s="25" t="s">
        <v>1776</v>
      </c>
      <c r="H1001" s="13" t="s">
        <v>9</v>
      </c>
      <c r="I1001" s="25" t="s">
        <v>823</v>
      </c>
      <c r="J1001" s="49">
        <v>11760</v>
      </c>
      <c r="K1001" s="13" t="s">
        <v>700</v>
      </c>
      <c r="L1001" s="48">
        <v>141120000</v>
      </c>
      <c r="M1001" s="46"/>
      <c r="N1001" s="17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</row>
    <row r="1002" spans="1:67" s="3" customFormat="1" x14ac:dyDescent="0.2">
      <c r="A1002" s="14" t="s">
        <v>2986</v>
      </c>
      <c r="B1002" s="14" t="s">
        <v>18</v>
      </c>
      <c r="C1002" s="14">
        <v>2025</v>
      </c>
      <c r="D1002" s="14" t="str">
        <f t="array" ref="D1002">_xlfn.SWITCH(E1002,"Jatikalen","35.18.20","Kertosono", "35.18.08","Lengkong","35.18.19","Loceret","35.18.04","Tanjunganom","35.18.11","Wilangan","35.18.15")</f>
        <v>35.18.08</v>
      </c>
      <c r="E1002" s="13" t="s">
        <v>75</v>
      </c>
      <c r="F1002" s="25" t="s">
        <v>1772</v>
      </c>
      <c r="G1002" s="25" t="s">
        <v>1777</v>
      </c>
      <c r="H1002" s="13" t="s">
        <v>9</v>
      </c>
      <c r="I1002" s="25" t="s">
        <v>823</v>
      </c>
      <c r="J1002" s="49">
        <v>5040</v>
      </c>
      <c r="K1002" s="13" t="s">
        <v>700</v>
      </c>
      <c r="L1002" s="48">
        <v>60480000</v>
      </c>
      <c r="M1002" s="46"/>
      <c r="N1002" s="17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</row>
    <row r="1003" spans="1:67" s="3" customFormat="1" x14ac:dyDescent="0.2">
      <c r="A1003" s="14" t="s">
        <v>2986</v>
      </c>
      <c r="B1003" s="14" t="s">
        <v>18</v>
      </c>
      <c r="C1003" s="14">
        <v>2025</v>
      </c>
      <c r="D1003" s="14" t="str">
        <f t="array" ref="D1003">_xlfn.SWITCH(E1003,"Jatikalen","35.18.20","Kertosono", "35.18.08","Lengkong","35.18.19","Loceret","35.18.04","Tanjunganom","35.18.11","Wilangan","35.18.15")</f>
        <v>35.18.08</v>
      </c>
      <c r="E1003" s="13" t="s">
        <v>75</v>
      </c>
      <c r="F1003" s="25" t="s">
        <v>1772</v>
      </c>
      <c r="G1003" s="25" t="s">
        <v>1778</v>
      </c>
      <c r="H1003" s="13" t="s">
        <v>9</v>
      </c>
      <c r="I1003" s="25" t="s">
        <v>823</v>
      </c>
      <c r="J1003" s="49">
        <v>10080</v>
      </c>
      <c r="K1003" s="13" t="s">
        <v>700</v>
      </c>
      <c r="L1003" s="48">
        <v>120960000</v>
      </c>
      <c r="M1003" s="46"/>
      <c r="N1003" s="17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</row>
    <row r="1004" spans="1:67" s="3" customFormat="1" x14ac:dyDescent="0.2">
      <c r="A1004" s="14" t="s">
        <v>2986</v>
      </c>
      <c r="B1004" s="14" t="s">
        <v>18</v>
      </c>
      <c r="C1004" s="14">
        <v>2025</v>
      </c>
      <c r="D1004" s="14" t="str">
        <f t="array" ref="D1004">_xlfn.SWITCH(E1004,"Jatikalen","35.18.20","Kertosono", "35.18.08","Lengkong","35.18.19","Loceret","35.18.04","Tanjunganom","35.18.11","Wilangan","35.18.15")</f>
        <v>35.18.08</v>
      </c>
      <c r="E1004" s="13" t="s">
        <v>75</v>
      </c>
      <c r="F1004" s="25" t="s">
        <v>1772</v>
      </c>
      <c r="G1004" s="25" t="s">
        <v>1779</v>
      </c>
      <c r="H1004" s="13" t="s">
        <v>9</v>
      </c>
      <c r="I1004" s="25" t="s">
        <v>823</v>
      </c>
      <c r="J1004" s="49">
        <v>16800</v>
      </c>
      <c r="K1004" s="13" t="s">
        <v>700</v>
      </c>
      <c r="L1004" s="48">
        <v>201600000</v>
      </c>
      <c r="M1004" s="46"/>
      <c r="N1004" s="17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</row>
    <row r="1005" spans="1:67" s="3" customFormat="1" x14ac:dyDescent="0.2">
      <c r="A1005" s="14" t="s">
        <v>2986</v>
      </c>
      <c r="B1005" s="14" t="s">
        <v>18</v>
      </c>
      <c r="C1005" s="14">
        <v>2025</v>
      </c>
      <c r="D1005" s="14" t="str">
        <f t="array" ref="D1005">_xlfn.SWITCH(E1005,"Jatikalen","35.18.20","Kertosono", "35.18.08","Lengkong","35.18.19","Loceret","35.18.04","Tanjunganom","35.18.11","Wilangan","35.18.15")</f>
        <v>35.18.08</v>
      </c>
      <c r="E1005" s="13" t="s">
        <v>75</v>
      </c>
      <c r="F1005" s="25" t="s">
        <v>1772</v>
      </c>
      <c r="G1005" s="25" t="s">
        <v>1780</v>
      </c>
      <c r="H1005" s="13" t="s">
        <v>9</v>
      </c>
      <c r="I1005" s="25" t="s">
        <v>823</v>
      </c>
      <c r="J1005" s="49">
        <v>16800</v>
      </c>
      <c r="K1005" s="13" t="s">
        <v>700</v>
      </c>
      <c r="L1005" s="48">
        <v>201600000</v>
      </c>
      <c r="M1005" s="46"/>
      <c r="N1005" s="17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</row>
    <row r="1006" spans="1:67" s="3" customFormat="1" x14ac:dyDescent="0.2">
      <c r="A1006" s="14" t="s">
        <v>2986</v>
      </c>
      <c r="B1006" s="14" t="s">
        <v>18</v>
      </c>
      <c r="C1006" s="14">
        <v>2025</v>
      </c>
      <c r="D1006" s="14" t="str">
        <f t="array" ref="D1006">_xlfn.SWITCH(E1006,"Jatikalen","35.18.20","Kertosono", "35.18.08","Lengkong","35.18.19","Loceret","35.18.04","Tanjunganom","35.18.11","Wilangan","35.18.15")</f>
        <v>35.18.08</v>
      </c>
      <c r="E1006" s="13" t="s">
        <v>75</v>
      </c>
      <c r="F1006" s="25" t="s">
        <v>1772</v>
      </c>
      <c r="G1006" s="25" t="s">
        <v>1781</v>
      </c>
      <c r="H1006" s="13" t="s">
        <v>9</v>
      </c>
      <c r="I1006" s="25" t="s">
        <v>823</v>
      </c>
      <c r="J1006" s="49">
        <v>4032</v>
      </c>
      <c r="K1006" s="13" t="s">
        <v>700</v>
      </c>
      <c r="L1006" s="48">
        <v>48384000</v>
      </c>
      <c r="M1006" s="46"/>
      <c r="N1006" s="17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</row>
    <row r="1007" spans="1:67" s="3" customFormat="1" x14ac:dyDescent="0.2">
      <c r="A1007" s="14" t="s">
        <v>2986</v>
      </c>
      <c r="B1007" s="14" t="s">
        <v>18</v>
      </c>
      <c r="C1007" s="14">
        <v>2025</v>
      </c>
      <c r="D1007" s="14" t="str">
        <f t="array" ref="D1007">_xlfn.SWITCH(E1007,"Jatikalen","35.18.20","Kertosono", "35.18.08","Lengkong","35.18.19","Loceret","35.18.04","Tanjunganom","35.18.11","Wilangan","35.18.15")</f>
        <v>35.18.08</v>
      </c>
      <c r="E1007" s="13" t="s">
        <v>75</v>
      </c>
      <c r="F1007" s="25" t="s">
        <v>1772</v>
      </c>
      <c r="G1007" s="25" t="s">
        <v>1782</v>
      </c>
      <c r="H1007" s="13" t="s">
        <v>9</v>
      </c>
      <c r="I1007" s="25" t="s">
        <v>823</v>
      </c>
      <c r="J1007" s="49">
        <v>10080</v>
      </c>
      <c r="K1007" s="13" t="s">
        <v>700</v>
      </c>
      <c r="L1007" s="48">
        <v>120960000</v>
      </c>
      <c r="M1007" s="46"/>
      <c r="N1007" s="17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</row>
    <row r="1008" spans="1:67" s="3" customFormat="1" x14ac:dyDescent="0.2">
      <c r="A1008" s="14" t="s">
        <v>2986</v>
      </c>
      <c r="B1008" s="14" t="s">
        <v>18</v>
      </c>
      <c r="C1008" s="14">
        <v>2025</v>
      </c>
      <c r="D1008" s="14" t="str">
        <f t="array" ref="D1008">_xlfn.SWITCH(E1008,"Jatikalen","35.18.20","Kertosono", "35.18.08","Lengkong","35.18.19","Loceret","35.18.04","Tanjunganom","35.18.11","Wilangan","35.18.15")</f>
        <v>35.18.08</v>
      </c>
      <c r="E1008" s="13" t="s">
        <v>75</v>
      </c>
      <c r="F1008" s="25" t="s">
        <v>1772</v>
      </c>
      <c r="G1008" s="25" t="s">
        <v>1783</v>
      </c>
      <c r="H1008" s="13" t="s">
        <v>9</v>
      </c>
      <c r="I1008" s="25" t="s">
        <v>823</v>
      </c>
      <c r="J1008" s="49">
        <v>8400</v>
      </c>
      <c r="K1008" s="13" t="s">
        <v>700</v>
      </c>
      <c r="L1008" s="48">
        <v>100800000</v>
      </c>
      <c r="M1008" s="46"/>
      <c r="N1008" s="17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</row>
    <row r="1009" spans="1:67" s="3" customFormat="1" x14ac:dyDescent="0.2">
      <c r="A1009" s="14" t="s">
        <v>2986</v>
      </c>
      <c r="B1009" s="14" t="s">
        <v>18</v>
      </c>
      <c r="C1009" s="14">
        <v>2025</v>
      </c>
      <c r="D1009" s="14" t="str">
        <f t="array" ref="D1009">_xlfn.SWITCH(E1009,"Jatikalen","35.18.20","Kertosono", "35.18.08","Lengkong","35.18.19","Loceret","35.18.04","Tanjunganom","35.18.11","Wilangan","35.18.15")</f>
        <v>35.18.08</v>
      </c>
      <c r="E1009" s="13" t="s">
        <v>75</v>
      </c>
      <c r="F1009" s="25" t="s">
        <v>1772</v>
      </c>
      <c r="G1009" s="25" t="s">
        <v>1784</v>
      </c>
      <c r="H1009" s="13" t="s">
        <v>9</v>
      </c>
      <c r="I1009" s="25" t="s">
        <v>823</v>
      </c>
      <c r="J1009" s="49">
        <v>3360</v>
      </c>
      <c r="K1009" s="13" t="s">
        <v>700</v>
      </c>
      <c r="L1009" s="48">
        <v>40320000</v>
      </c>
      <c r="M1009" s="46"/>
      <c r="N1009" s="17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</row>
    <row r="1010" spans="1:67" s="3" customFormat="1" x14ac:dyDescent="0.2">
      <c r="A1010" s="14" t="s">
        <v>2986</v>
      </c>
      <c r="B1010" s="14" t="s">
        <v>18</v>
      </c>
      <c r="C1010" s="14">
        <v>2025</v>
      </c>
      <c r="D1010" s="14" t="str">
        <f t="array" ref="D1010">_xlfn.SWITCH(E1010,"Jatikalen","35.18.20","Kertosono", "35.18.08","Lengkong","35.18.19","Loceret","35.18.04","Tanjunganom","35.18.11","Wilangan","35.18.15")</f>
        <v>35.18.08</v>
      </c>
      <c r="E1010" s="13" t="s">
        <v>75</v>
      </c>
      <c r="F1010" s="25" t="s">
        <v>1772</v>
      </c>
      <c r="G1010" s="25" t="s">
        <v>1785</v>
      </c>
      <c r="H1010" s="13" t="s">
        <v>9</v>
      </c>
      <c r="I1010" s="25" t="s">
        <v>823</v>
      </c>
      <c r="J1010" s="49">
        <v>3360</v>
      </c>
      <c r="K1010" s="13" t="s">
        <v>700</v>
      </c>
      <c r="L1010" s="48">
        <v>40320000</v>
      </c>
      <c r="M1010" s="46"/>
      <c r="N1010" s="17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</row>
    <row r="1011" spans="1:67" s="3" customFormat="1" x14ac:dyDescent="0.2">
      <c r="A1011" s="14" t="s">
        <v>2986</v>
      </c>
      <c r="B1011" s="14" t="s">
        <v>18</v>
      </c>
      <c r="C1011" s="14">
        <v>2025</v>
      </c>
      <c r="D1011" s="14" t="str">
        <f t="array" ref="D1011">_xlfn.SWITCH(E1011,"Jatikalen","35.18.20","Kertosono", "35.18.08","Lengkong","35.18.19","Loceret","35.18.04","Tanjunganom","35.18.11","Wilangan","35.18.15")</f>
        <v>35.18.08</v>
      </c>
      <c r="E1011" s="13" t="s">
        <v>75</v>
      </c>
      <c r="F1011" s="25" t="s">
        <v>1772</v>
      </c>
      <c r="G1011" s="25" t="s">
        <v>1786</v>
      </c>
      <c r="H1011" s="13" t="s">
        <v>9</v>
      </c>
      <c r="I1011" s="25" t="s">
        <v>823</v>
      </c>
      <c r="J1011" s="49">
        <v>5040</v>
      </c>
      <c r="K1011" s="13" t="s">
        <v>700</v>
      </c>
      <c r="L1011" s="48">
        <v>60480000</v>
      </c>
      <c r="M1011" s="46"/>
      <c r="N1011" s="17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</row>
    <row r="1012" spans="1:67" s="3" customFormat="1" x14ac:dyDescent="0.2">
      <c r="A1012" s="14" t="s">
        <v>2986</v>
      </c>
      <c r="B1012" s="14" t="s">
        <v>18</v>
      </c>
      <c r="C1012" s="14">
        <v>2025</v>
      </c>
      <c r="D1012" s="14" t="str">
        <f t="array" ref="D1012">_xlfn.SWITCH(E1012,"Jatikalen","35.18.20","Kertosono", "35.18.08","Lengkong","35.18.19","Loceret","35.18.04","Tanjunganom","35.18.11","Wilangan","35.18.15")</f>
        <v>35.18.08</v>
      </c>
      <c r="E1012" s="13" t="s">
        <v>75</v>
      </c>
      <c r="F1012" s="25" t="s">
        <v>1772</v>
      </c>
      <c r="G1012" s="25" t="s">
        <v>1787</v>
      </c>
      <c r="H1012" s="13" t="s">
        <v>9</v>
      </c>
      <c r="I1012" s="25" t="s">
        <v>823</v>
      </c>
      <c r="J1012" s="49">
        <v>26880</v>
      </c>
      <c r="K1012" s="13" t="s">
        <v>700</v>
      </c>
      <c r="L1012" s="48">
        <v>322560000</v>
      </c>
      <c r="M1012" s="46"/>
      <c r="N1012" s="17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</row>
    <row r="1013" spans="1:67" s="3" customFormat="1" x14ac:dyDescent="0.2">
      <c r="A1013" s="14" t="s">
        <v>2986</v>
      </c>
      <c r="B1013" s="14" t="s">
        <v>18</v>
      </c>
      <c r="C1013" s="14">
        <v>2025</v>
      </c>
      <c r="D1013" s="14" t="str">
        <f t="array" ref="D1013">_xlfn.SWITCH(E1013,"Jatikalen","35.18.20","Kertosono", "35.18.08","Lengkong","35.18.19","Loceret","35.18.04","Tanjunganom","35.18.11","Wilangan","35.18.15")</f>
        <v>35.18.08</v>
      </c>
      <c r="E1013" s="13" t="s">
        <v>75</v>
      </c>
      <c r="F1013" s="25" t="s">
        <v>1772</v>
      </c>
      <c r="G1013" s="25" t="s">
        <v>1788</v>
      </c>
      <c r="H1013" s="13" t="s">
        <v>9</v>
      </c>
      <c r="I1013" s="25" t="s">
        <v>823</v>
      </c>
      <c r="J1013" s="49">
        <v>3360</v>
      </c>
      <c r="K1013" s="13" t="s">
        <v>700</v>
      </c>
      <c r="L1013" s="48">
        <v>40320000</v>
      </c>
      <c r="M1013" s="46"/>
      <c r="N1013" s="17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</row>
    <row r="1014" spans="1:67" s="3" customFormat="1" x14ac:dyDescent="0.2">
      <c r="A1014" s="14" t="s">
        <v>2986</v>
      </c>
      <c r="B1014" s="14" t="s">
        <v>18</v>
      </c>
      <c r="C1014" s="14">
        <v>2025</v>
      </c>
      <c r="D1014" s="14" t="str">
        <f t="array" ref="D1014">_xlfn.SWITCH(E1014,"Jatikalen","35.18.20","Kertosono", "35.18.08","Lengkong","35.18.19","Loceret","35.18.04","Tanjunganom","35.18.11","Wilangan","35.18.15")</f>
        <v>35.18.08</v>
      </c>
      <c r="E1014" s="13" t="s">
        <v>75</v>
      </c>
      <c r="F1014" s="25" t="s">
        <v>1772</v>
      </c>
      <c r="G1014" s="25" t="s">
        <v>1789</v>
      </c>
      <c r="H1014" s="13" t="s">
        <v>9</v>
      </c>
      <c r="I1014" s="25" t="s">
        <v>823</v>
      </c>
      <c r="J1014" s="49">
        <v>13440</v>
      </c>
      <c r="K1014" s="13" t="s">
        <v>700</v>
      </c>
      <c r="L1014" s="48">
        <v>161280000</v>
      </c>
      <c r="M1014" s="46"/>
      <c r="N1014" s="17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</row>
    <row r="1015" spans="1:67" s="3" customFormat="1" x14ac:dyDescent="0.2">
      <c r="A1015" s="14" t="s">
        <v>2986</v>
      </c>
      <c r="B1015" s="14" t="s">
        <v>18</v>
      </c>
      <c r="C1015" s="14">
        <v>2025</v>
      </c>
      <c r="D1015" s="14" t="str">
        <f t="array" ref="D1015">_xlfn.SWITCH(E1015,"Jatikalen","35.18.20","Kertosono", "35.18.08","Lengkong","35.18.19","Loceret","35.18.04","Tanjunganom","35.18.11","Wilangan","35.18.15")</f>
        <v>35.18.08</v>
      </c>
      <c r="E1015" s="13" t="s">
        <v>75</v>
      </c>
      <c r="F1015" s="25" t="s">
        <v>1772</v>
      </c>
      <c r="G1015" s="25" t="s">
        <v>1790</v>
      </c>
      <c r="H1015" s="13" t="s">
        <v>9</v>
      </c>
      <c r="I1015" s="25" t="s">
        <v>823</v>
      </c>
      <c r="J1015" s="49">
        <v>4368</v>
      </c>
      <c r="K1015" s="13" t="s">
        <v>700</v>
      </c>
      <c r="L1015" s="48">
        <v>50400000</v>
      </c>
      <c r="M1015" s="46"/>
      <c r="N1015" s="17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</row>
    <row r="1016" spans="1:67" s="3" customFormat="1" x14ac:dyDescent="0.2">
      <c r="A1016" s="14" t="s">
        <v>2986</v>
      </c>
      <c r="B1016" s="14" t="s">
        <v>18</v>
      </c>
      <c r="C1016" s="14">
        <v>2025</v>
      </c>
      <c r="D1016" s="14" t="str">
        <f t="array" ref="D1016">_xlfn.SWITCH(E1016,"Jatikalen","35.18.20","Kertosono", "35.18.08","Lengkong","35.18.19","Loceret","35.18.04","Tanjunganom","35.18.11","Wilangan","35.18.15")</f>
        <v>35.18.08</v>
      </c>
      <c r="E1016" s="13" t="s">
        <v>75</v>
      </c>
      <c r="F1016" s="25" t="s">
        <v>1772</v>
      </c>
      <c r="G1016" s="25" t="s">
        <v>1791</v>
      </c>
      <c r="H1016" s="13" t="s">
        <v>9</v>
      </c>
      <c r="I1016" s="25" t="s">
        <v>823</v>
      </c>
      <c r="J1016" s="49">
        <v>3360</v>
      </c>
      <c r="K1016" s="13" t="s">
        <v>700</v>
      </c>
      <c r="L1016" s="48">
        <v>40320000</v>
      </c>
      <c r="M1016" s="46"/>
      <c r="N1016" s="17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</row>
    <row r="1017" spans="1:67" s="3" customFormat="1" x14ac:dyDescent="0.2">
      <c r="A1017" s="14" t="s">
        <v>2986</v>
      </c>
      <c r="B1017" s="14" t="s">
        <v>18</v>
      </c>
      <c r="C1017" s="14">
        <v>2025</v>
      </c>
      <c r="D1017" s="14" t="str">
        <f t="array" ref="D1017">_xlfn.SWITCH(E1017,"Jatikalen","35.18.20","Kertosono", "35.18.08","Lengkong","35.18.19","Loceret","35.18.04","Tanjunganom","35.18.11","Wilangan","35.18.15")</f>
        <v>35.18.08</v>
      </c>
      <c r="E1017" s="13" t="s">
        <v>75</v>
      </c>
      <c r="F1017" s="25" t="s">
        <v>1772</v>
      </c>
      <c r="G1017" s="25" t="s">
        <v>1792</v>
      </c>
      <c r="H1017" s="13" t="s">
        <v>9</v>
      </c>
      <c r="I1017" s="25" t="s">
        <v>823</v>
      </c>
      <c r="J1017" s="49">
        <v>6720</v>
      </c>
      <c r="K1017" s="13" t="s">
        <v>700</v>
      </c>
      <c r="L1017" s="48">
        <v>67200000</v>
      </c>
      <c r="M1017" s="46"/>
      <c r="N1017" s="17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</row>
    <row r="1018" spans="1:67" s="3" customFormat="1" x14ac:dyDescent="0.2">
      <c r="A1018" s="14" t="s">
        <v>2986</v>
      </c>
      <c r="B1018" s="14" t="s">
        <v>18</v>
      </c>
      <c r="C1018" s="14">
        <v>2025</v>
      </c>
      <c r="D1018" s="14" t="str">
        <f t="array" ref="D1018">_xlfn.SWITCH(E1018,"Jatikalen","35.18.20","Kertosono", "35.18.08","Lengkong","35.18.19","Loceret","35.18.04","Tanjunganom","35.18.11","Wilangan","35.18.15")</f>
        <v>35.18.08</v>
      </c>
      <c r="E1018" s="13" t="s">
        <v>75</v>
      </c>
      <c r="F1018" s="25" t="s">
        <v>1772</v>
      </c>
      <c r="G1018" s="25" t="s">
        <v>1793</v>
      </c>
      <c r="H1018" s="13" t="s">
        <v>9</v>
      </c>
      <c r="I1018" s="25" t="s">
        <v>823</v>
      </c>
      <c r="J1018" s="49">
        <v>5712</v>
      </c>
      <c r="K1018" s="13" t="s">
        <v>700</v>
      </c>
      <c r="L1018" s="48">
        <v>60480000</v>
      </c>
      <c r="M1018" s="46"/>
      <c r="N1018" s="17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</row>
    <row r="1019" spans="1:67" s="3" customFormat="1" x14ac:dyDescent="0.2">
      <c r="A1019" s="14" t="s">
        <v>2986</v>
      </c>
      <c r="B1019" s="14" t="s">
        <v>18</v>
      </c>
      <c r="C1019" s="14">
        <v>2025</v>
      </c>
      <c r="D1019" s="14" t="str">
        <f t="array" ref="D1019">_xlfn.SWITCH(E1019,"Jatikalen","35.18.20","Kertosono", "35.18.08","Lengkong","35.18.19","Loceret","35.18.04","Tanjunganom","35.18.11","Wilangan","35.18.15")</f>
        <v>35.18.08</v>
      </c>
      <c r="E1019" s="13" t="s">
        <v>75</v>
      </c>
      <c r="F1019" s="25" t="s">
        <v>1772</v>
      </c>
      <c r="G1019" s="25" t="s">
        <v>1794</v>
      </c>
      <c r="H1019" s="13" t="s">
        <v>9</v>
      </c>
      <c r="I1019" s="25" t="s">
        <v>823</v>
      </c>
      <c r="J1019" s="49">
        <v>5040</v>
      </c>
      <c r="K1019" s="13" t="s">
        <v>700</v>
      </c>
      <c r="L1019" s="48">
        <v>50400000</v>
      </c>
      <c r="M1019" s="46"/>
      <c r="N1019" s="17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</row>
    <row r="1020" spans="1:67" s="3" customFormat="1" x14ac:dyDescent="0.2">
      <c r="A1020" s="14" t="s">
        <v>2986</v>
      </c>
      <c r="B1020" s="14" t="s">
        <v>18</v>
      </c>
      <c r="C1020" s="14">
        <v>2025</v>
      </c>
      <c r="D1020" s="14" t="str">
        <f t="array" ref="D1020">_xlfn.SWITCH(E1020,"Jatikalen","35.18.20","Kertosono", "35.18.08","Lengkong","35.18.19","Loceret","35.18.04","Tanjunganom","35.18.11","Wilangan","35.18.15")</f>
        <v>35.18.08</v>
      </c>
      <c r="E1020" s="13" t="s">
        <v>75</v>
      </c>
      <c r="F1020" s="25" t="s">
        <v>1772</v>
      </c>
      <c r="G1020" s="25" t="s">
        <v>1795</v>
      </c>
      <c r="H1020" s="13" t="s">
        <v>9</v>
      </c>
      <c r="I1020" s="25" t="s">
        <v>823</v>
      </c>
      <c r="J1020" s="49">
        <v>6720</v>
      </c>
      <c r="K1020" s="13" t="s">
        <v>700</v>
      </c>
      <c r="L1020" s="48">
        <v>67200000</v>
      </c>
      <c r="M1020" s="46"/>
      <c r="N1020" s="17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</row>
    <row r="1021" spans="1:67" s="3" customFormat="1" x14ac:dyDescent="0.2">
      <c r="A1021" s="14" t="s">
        <v>2986</v>
      </c>
      <c r="B1021" s="14" t="s">
        <v>18</v>
      </c>
      <c r="C1021" s="14">
        <v>2025</v>
      </c>
      <c r="D1021" s="14" t="str">
        <f t="array" ref="D1021">_xlfn.SWITCH(E1021,"Jatikalen","35.18.20","Kertosono", "35.18.08","Lengkong","35.18.19","Loceret","35.18.04","Tanjunganom","35.18.11","Wilangan","35.18.15")</f>
        <v>35.18.08</v>
      </c>
      <c r="E1021" s="13" t="s">
        <v>75</v>
      </c>
      <c r="F1021" s="25" t="s">
        <v>1772</v>
      </c>
      <c r="G1021" s="25" t="s">
        <v>1796</v>
      </c>
      <c r="H1021" s="13" t="s">
        <v>9</v>
      </c>
      <c r="I1021" s="25" t="s">
        <v>823</v>
      </c>
      <c r="J1021" s="49">
        <v>6720</v>
      </c>
      <c r="K1021" s="13" t="s">
        <v>700</v>
      </c>
      <c r="L1021" s="48">
        <v>67200000</v>
      </c>
      <c r="M1021" s="46"/>
      <c r="N1021" s="17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</row>
    <row r="1022" spans="1:67" s="3" customFormat="1" x14ac:dyDescent="0.2">
      <c r="A1022" s="14" t="s">
        <v>2986</v>
      </c>
      <c r="B1022" s="14" t="s">
        <v>18</v>
      </c>
      <c r="C1022" s="14">
        <v>2025</v>
      </c>
      <c r="D1022" s="14" t="str">
        <f t="array" ref="D1022">_xlfn.SWITCH(E1022,"Jatikalen","35.18.20","Kertosono", "35.18.08","Lengkong","35.18.19","Loceret","35.18.04","Tanjunganom","35.18.11","Wilangan","35.18.15")</f>
        <v>35.18.08</v>
      </c>
      <c r="E1022" s="13" t="s">
        <v>75</v>
      </c>
      <c r="F1022" s="25" t="s">
        <v>1772</v>
      </c>
      <c r="G1022" s="25" t="s">
        <v>1797</v>
      </c>
      <c r="H1022" s="13" t="s">
        <v>9</v>
      </c>
      <c r="I1022" s="25" t="s">
        <v>823</v>
      </c>
      <c r="J1022" s="49">
        <v>5040</v>
      </c>
      <c r="K1022" s="13" t="s">
        <v>700</v>
      </c>
      <c r="L1022" s="48">
        <v>50400000</v>
      </c>
      <c r="M1022" s="46"/>
      <c r="N1022" s="17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</row>
    <row r="1023" spans="1:67" s="3" customFormat="1" x14ac:dyDescent="0.2">
      <c r="A1023" s="14" t="s">
        <v>2986</v>
      </c>
      <c r="B1023" s="14" t="s">
        <v>18</v>
      </c>
      <c r="C1023" s="14">
        <v>2025</v>
      </c>
      <c r="D1023" s="14" t="str">
        <f t="array" ref="D1023">_xlfn.SWITCH(E1023,"Jatikalen","35.18.20","Kertosono", "35.18.08","Lengkong","35.18.19","Loceret","35.18.04","Tanjunganom","35.18.11","Wilangan","35.18.15")</f>
        <v>35.18.08</v>
      </c>
      <c r="E1023" s="13" t="s">
        <v>75</v>
      </c>
      <c r="F1023" s="25" t="s">
        <v>1772</v>
      </c>
      <c r="G1023" s="25" t="s">
        <v>1798</v>
      </c>
      <c r="H1023" s="13" t="s">
        <v>9</v>
      </c>
      <c r="I1023" s="25" t="s">
        <v>823</v>
      </c>
      <c r="J1023" s="49">
        <v>3360</v>
      </c>
      <c r="K1023" s="13" t="s">
        <v>700</v>
      </c>
      <c r="L1023" s="48">
        <v>40320000</v>
      </c>
      <c r="M1023" s="46"/>
      <c r="N1023" s="17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</row>
    <row r="1024" spans="1:67" s="3" customFormat="1" x14ac:dyDescent="0.2">
      <c r="A1024" s="14" t="s">
        <v>2986</v>
      </c>
      <c r="B1024" s="14" t="s">
        <v>18</v>
      </c>
      <c r="C1024" s="14">
        <v>2025</v>
      </c>
      <c r="D1024" s="14" t="str">
        <f t="array" ref="D1024">_xlfn.SWITCH(E1024,"Jatikalen","35.18.20","Kertosono", "35.18.08","Lengkong","35.18.19","Loceret","35.18.04","Tanjunganom","35.18.11","Wilangan","35.18.15")</f>
        <v>35.18.08</v>
      </c>
      <c r="E1024" s="13" t="s">
        <v>75</v>
      </c>
      <c r="F1024" s="25" t="s">
        <v>1772</v>
      </c>
      <c r="G1024" s="25" t="s">
        <v>1799</v>
      </c>
      <c r="H1024" s="13" t="s">
        <v>9</v>
      </c>
      <c r="I1024" s="25" t="s">
        <v>823</v>
      </c>
      <c r="J1024" s="49">
        <v>3360</v>
      </c>
      <c r="K1024" s="13" t="s">
        <v>700</v>
      </c>
      <c r="L1024" s="48">
        <v>40320000</v>
      </c>
      <c r="M1024" s="46"/>
      <c r="N1024" s="17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</row>
    <row r="1025" spans="1:67" s="3" customFormat="1" x14ac:dyDescent="0.2">
      <c r="A1025" s="14" t="s">
        <v>2986</v>
      </c>
      <c r="B1025" s="14" t="s">
        <v>18</v>
      </c>
      <c r="C1025" s="14">
        <v>2025</v>
      </c>
      <c r="D1025" s="14" t="str">
        <f t="array" ref="D1025">_xlfn.SWITCH(E1025,"Jatikalen","35.18.20","Kertosono", "35.18.08","Lengkong","35.18.19","Loceret","35.18.04","Tanjunganom","35.18.11","Wilangan","35.18.15")</f>
        <v>35.18.08</v>
      </c>
      <c r="E1025" s="13" t="s">
        <v>75</v>
      </c>
      <c r="F1025" s="25" t="s">
        <v>1772</v>
      </c>
      <c r="G1025" s="25" t="s">
        <v>1779</v>
      </c>
      <c r="H1025" s="13" t="s">
        <v>9</v>
      </c>
      <c r="I1025" s="25" t="s">
        <v>823</v>
      </c>
      <c r="J1025" s="49">
        <v>4032</v>
      </c>
      <c r="K1025" s="13" t="s">
        <v>700</v>
      </c>
      <c r="L1025" s="48">
        <v>48384000</v>
      </c>
      <c r="M1025" s="46"/>
      <c r="N1025" s="17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</row>
    <row r="1026" spans="1:67" s="3" customFormat="1" x14ac:dyDescent="0.2">
      <c r="A1026" s="14" t="s">
        <v>2986</v>
      </c>
      <c r="B1026" s="14" t="s">
        <v>18</v>
      </c>
      <c r="C1026" s="14">
        <v>2025</v>
      </c>
      <c r="D1026" s="14" t="str">
        <f t="array" ref="D1026">_xlfn.SWITCH(E1026,"Jatikalen","35.18.20","Kertosono", "35.18.08","Lengkong","35.18.19","Loceret","35.18.04","Tanjunganom","35.18.11","Wilangan","35.18.15")</f>
        <v>35.18.08</v>
      </c>
      <c r="E1026" s="13" t="s">
        <v>75</v>
      </c>
      <c r="F1026" s="25" t="s">
        <v>1772</v>
      </c>
      <c r="G1026" s="25" t="s">
        <v>1800</v>
      </c>
      <c r="H1026" s="13" t="s">
        <v>9</v>
      </c>
      <c r="I1026" s="25" t="s">
        <v>823</v>
      </c>
      <c r="J1026" s="49">
        <v>4032</v>
      </c>
      <c r="K1026" s="13" t="s">
        <v>700</v>
      </c>
      <c r="L1026" s="48">
        <v>48384000</v>
      </c>
      <c r="M1026" s="46"/>
      <c r="N1026" s="17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</row>
    <row r="1027" spans="1:67" s="3" customFormat="1" x14ac:dyDescent="0.2">
      <c r="A1027" s="14" t="s">
        <v>2986</v>
      </c>
      <c r="B1027" s="14" t="s">
        <v>18</v>
      </c>
      <c r="C1027" s="14">
        <v>2025</v>
      </c>
      <c r="D1027" s="14" t="str">
        <f t="array" ref="D1027">_xlfn.SWITCH(E1027,"Jatikalen","35.18.20","Kertosono", "35.18.08","Lengkong","35.18.19","Loceret","35.18.04","Tanjunganom","35.18.11","Wilangan","35.18.15")</f>
        <v>35.18.08</v>
      </c>
      <c r="E1027" s="13" t="s">
        <v>75</v>
      </c>
      <c r="F1027" s="25" t="s">
        <v>1772</v>
      </c>
      <c r="G1027" s="25" t="s">
        <v>1801</v>
      </c>
      <c r="H1027" s="13" t="s">
        <v>9</v>
      </c>
      <c r="I1027" s="25" t="s">
        <v>823</v>
      </c>
      <c r="J1027" s="49">
        <v>3360</v>
      </c>
      <c r="K1027" s="13" t="s">
        <v>700</v>
      </c>
      <c r="L1027" s="48">
        <v>40320000</v>
      </c>
      <c r="M1027" s="46"/>
      <c r="N1027" s="17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</row>
    <row r="1028" spans="1:67" s="3" customFormat="1" x14ac:dyDescent="0.2">
      <c r="A1028" s="14" t="s">
        <v>2986</v>
      </c>
      <c r="B1028" s="14" t="s">
        <v>18</v>
      </c>
      <c r="C1028" s="14">
        <v>2025</v>
      </c>
      <c r="D1028" s="14" t="str">
        <f t="array" ref="D1028">_xlfn.SWITCH(E1028,"Jatikalen","35.18.20","Kertosono", "35.18.08","Lengkong","35.18.19","Loceret","35.18.04","Tanjunganom","35.18.11","Wilangan","35.18.15")</f>
        <v>35.18.19</v>
      </c>
      <c r="E1028" s="13" t="s">
        <v>30</v>
      </c>
      <c r="F1028" s="25" t="s">
        <v>1766</v>
      </c>
      <c r="G1028" s="25" t="s">
        <v>1784</v>
      </c>
      <c r="H1028" s="13" t="s">
        <v>9</v>
      </c>
      <c r="I1028" s="25" t="s">
        <v>1510</v>
      </c>
      <c r="J1028" s="49">
        <v>4320</v>
      </c>
      <c r="K1028" s="13" t="s">
        <v>953</v>
      </c>
      <c r="L1028" s="48">
        <v>172000000</v>
      </c>
      <c r="M1028" s="46"/>
      <c r="N1028" s="17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</row>
    <row r="1029" spans="1:67" s="3" customFormat="1" x14ac:dyDescent="0.2">
      <c r="A1029" s="14" t="s">
        <v>2986</v>
      </c>
      <c r="B1029" s="14" t="s">
        <v>18</v>
      </c>
      <c r="C1029" s="14">
        <v>2025</v>
      </c>
      <c r="D1029" s="14" t="str">
        <f t="array" ref="D1029">_xlfn.SWITCH(E1029,"Bagor","35.18.14","Sukomoro",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29" s="13" t="s">
        <v>102</v>
      </c>
      <c r="F1029" s="25" t="s">
        <v>1802</v>
      </c>
      <c r="G1029" s="25" t="s">
        <v>1803</v>
      </c>
      <c r="H1029" s="13" t="s">
        <v>9</v>
      </c>
      <c r="I1029" s="25" t="s">
        <v>1804</v>
      </c>
      <c r="J1029" s="49">
        <v>12000</v>
      </c>
      <c r="K1029" s="13" t="s">
        <v>953</v>
      </c>
      <c r="L1029" s="48">
        <v>72000000</v>
      </c>
      <c r="M1029" s="46"/>
      <c r="N1029" s="17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</row>
    <row r="1030" spans="1:67" s="3" customFormat="1" x14ac:dyDescent="0.2">
      <c r="A1030" s="14" t="s">
        <v>2986</v>
      </c>
      <c r="B1030" s="14" t="s">
        <v>18</v>
      </c>
      <c r="C1030" s="14">
        <v>2025</v>
      </c>
      <c r="D1030" s="14" t="str">
        <f t="array" ref="D1030">_xlfn.SWITCH(E1030,"Bagor","35.18.14","Sukomoro",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0" s="13" t="s">
        <v>102</v>
      </c>
      <c r="F1030" s="25" t="s">
        <v>1802</v>
      </c>
      <c r="G1030" s="25" t="s">
        <v>1805</v>
      </c>
      <c r="H1030" s="13" t="s">
        <v>9</v>
      </c>
      <c r="I1030" s="25" t="s">
        <v>1804</v>
      </c>
      <c r="J1030" s="49">
        <v>36000</v>
      </c>
      <c r="K1030" s="13" t="s">
        <v>953</v>
      </c>
      <c r="L1030" s="48">
        <v>216000000</v>
      </c>
      <c r="M1030" s="46"/>
      <c r="N1030" s="17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</row>
    <row r="1031" spans="1:67" s="3" customFormat="1" x14ac:dyDescent="0.2">
      <c r="A1031" s="14" t="s">
        <v>2986</v>
      </c>
      <c r="B1031" s="14" t="s">
        <v>18</v>
      </c>
      <c r="C1031" s="14">
        <v>2025</v>
      </c>
      <c r="D1031" s="14" t="str">
        <f t="array" ref="D1031">_xlfn.SWITCH(E1031,"Bagor","35.18.14","Sukomoro",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1" s="13" t="s">
        <v>102</v>
      </c>
      <c r="F1031" s="25" t="s">
        <v>1802</v>
      </c>
      <c r="G1031" s="25" t="s">
        <v>1806</v>
      </c>
      <c r="H1031" s="13" t="s">
        <v>9</v>
      </c>
      <c r="I1031" s="25" t="s">
        <v>1804</v>
      </c>
      <c r="J1031" s="49">
        <v>72000</v>
      </c>
      <c r="K1031" s="13" t="s">
        <v>953</v>
      </c>
      <c r="L1031" s="48">
        <v>550000000</v>
      </c>
      <c r="M1031" s="46"/>
      <c r="N1031" s="17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</row>
    <row r="1032" spans="1:67" s="3" customFormat="1" x14ac:dyDescent="0.2">
      <c r="A1032" s="14" t="s">
        <v>2986</v>
      </c>
      <c r="B1032" s="14" t="s">
        <v>18</v>
      </c>
      <c r="C1032" s="14">
        <v>2025</v>
      </c>
      <c r="D1032" s="14" t="str">
        <f t="array" ref="D1032">_xlfn.SWITCH(E1032,"Bagor","35.18.14","Sukomoro",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2" s="13" t="s">
        <v>102</v>
      </c>
      <c r="F1032" s="25" t="s">
        <v>1802</v>
      </c>
      <c r="G1032" s="25" t="s">
        <v>1807</v>
      </c>
      <c r="H1032" s="13" t="s">
        <v>9</v>
      </c>
      <c r="I1032" s="25" t="s">
        <v>1804</v>
      </c>
      <c r="J1032" s="49">
        <v>55000</v>
      </c>
      <c r="K1032" s="13" t="s">
        <v>953</v>
      </c>
      <c r="L1032" s="48">
        <v>420000000</v>
      </c>
      <c r="M1032" s="46"/>
      <c r="N1032" s="17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</row>
    <row r="1033" spans="1:67" s="3" customFormat="1" x14ac:dyDescent="0.2">
      <c r="A1033" s="14" t="s">
        <v>2986</v>
      </c>
      <c r="B1033" s="14" t="s">
        <v>18</v>
      </c>
      <c r="C1033" s="14">
        <v>2025</v>
      </c>
      <c r="D1033" s="14" t="str">
        <f t="array" ref="D1033">_xlfn.SWITCH(E1033,"Bagor","35.18.14","Sukomoro",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3" s="13" t="s">
        <v>102</v>
      </c>
      <c r="F1033" s="25" t="s">
        <v>1802</v>
      </c>
      <c r="G1033" s="25" t="s">
        <v>1808</v>
      </c>
      <c r="H1033" s="13" t="s">
        <v>9</v>
      </c>
      <c r="I1033" s="25" t="s">
        <v>1804</v>
      </c>
      <c r="J1033" s="53">
        <v>24000</v>
      </c>
      <c r="K1033" s="13" t="s">
        <v>953</v>
      </c>
      <c r="L1033" s="48">
        <v>144000000</v>
      </c>
      <c r="M1033" s="46"/>
      <c r="N1033" s="17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</row>
    <row r="1034" spans="1:67" s="3" customFormat="1" x14ac:dyDescent="0.2">
      <c r="A1034" s="14" t="s">
        <v>2986</v>
      </c>
      <c r="B1034" s="14" t="s">
        <v>18</v>
      </c>
      <c r="C1034" s="14">
        <v>2025</v>
      </c>
      <c r="D1034" s="14" t="str">
        <f t="array" ref="D1034">_xlfn.SWITCH(E1034,"Bagor","35.18.14","Sukomoro",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4" s="13" t="s">
        <v>102</v>
      </c>
      <c r="F1034" s="25" t="s">
        <v>1802</v>
      </c>
      <c r="G1034" s="25" t="s">
        <v>1809</v>
      </c>
      <c r="H1034" s="13" t="s">
        <v>9</v>
      </c>
      <c r="I1034" s="25" t="s">
        <v>1804</v>
      </c>
      <c r="J1034" s="49">
        <v>40000</v>
      </c>
      <c r="K1034" s="13" t="s">
        <v>953</v>
      </c>
      <c r="L1034" s="48">
        <v>380000000</v>
      </c>
      <c r="M1034" s="46"/>
      <c r="N1034" s="17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</row>
    <row r="1035" spans="1:67" s="3" customFormat="1" x14ac:dyDescent="0.2">
      <c r="A1035" s="14" t="s">
        <v>2986</v>
      </c>
      <c r="B1035" s="14" t="s">
        <v>18</v>
      </c>
      <c r="C1035" s="14">
        <v>2025</v>
      </c>
      <c r="D1035" s="14" t="str">
        <f t="array" ref="D1035">_xlfn.SWITCH(E1035,"Bagor","35.18.14","Sukomoro",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5" s="13" t="s">
        <v>98</v>
      </c>
      <c r="F1035" s="25" t="s">
        <v>1810</v>
      </c>
      <c r="G1035" s="25" t="s">
        <v>1811</v>
      </c>
      <c r="H1035" s="13" t="s">
        <v>9</v>
      </c>
      <c r="I1035" s="14" t="s">
        <v>1101</v>
      </c>
      <c r="J1035" s="49">
        <v>48</v>
      </c>
      <c r="K1035" s="13" t="s">
        <v>1057</v>
      </c>
      <c r="L1035" s="48">
        <v>144000000</v>
      </c>
      <c r="M1035" s="46"/>
      <c r="N1035" s="17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</row>
    <row r="1036" spans="1:67" s="3" customFormat="1" x14ac:dyDescent="0.2">
      <c r="A1036" s="14" t="s">
        <v>2986</v>
      </c>
      <c r="B1036" s="14" t="s">
        <v>18</v>
      </c>
      <c r="C1036" s="14">
        <v>2025</v>
      </c>
      <c r="D1036" s="14" t="str">
        <f t="array" ref="D1036">_xlfn.SWITCH(E1036,"Bagor","35.18.14","Sukomoro",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6" s="13" t="s">
        <v>98</v>
      </c>
      <c r="F1036" s="25" t="s">
        <v>1812</v>
      </c>
      <c r="G1036" s="25" t="s">
        <v>1813</v>
      </c>
      <c r="H1036" s="13" t="s">
        <v>9</v>
      </c>
      <c r="I1036" s="25" t="s">
        <v>1814</v>
      </c>
      <c r="J1036" s="49">
        <v>1680</v>
      </c>
      <c r="K1036" s="13" t="s">
        <v>700</v>
      </c>
      <c r="L1036" s="48">
        <v>1008000000</v>
      </c>
      <c r="M1036" s="46"/>
      <c r="N1036" s="17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</row>
    <row r="1037" spans="1:67" s="3" customFormat="1" x14ac:dyDescent="0.2">
      <c r="A1037" s="14" t="s">
        <v>2986</v>
      </c>
      <c r="B1037" s="14" t="s">
        <v>18</v>
      </c>
      <c r="C1037" s="14">
        <v>2025</v>
      </c>
      <c r="D1037" s="14" t="str">
        <f t="array" ref="D1037">_xlfn.SWITCH(E1037,"Bagor","35.18.14","Sukomoro",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7" s="13" t="s">
        <v>98</v>
      </c>
      <c r="F1037" s="25" t="s">
        <v>1815</v>
      </c>
      <c r="G1037" s="25" t="s">
        <v>1816</v>
      </c>
      <c r="H1037" s="13" t="s">
        <v>9</v>
      </c>
      <c r="I1037" s="25" t="s">
        <v>166</v>
      </c>
      <c r="J1037" s="49">
        <v>14400</v>
      </c>
      <c r="K1037" s="13" t="s">
        <v>1312</v>
      </c>
      <c r="L1037" s="48">
        <v>259200000</v>
      </c>
      <c r="M1037" s="46"/>
      <c r="N1037" s="17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</row>
    <row r="1038" spans="1:67" s="3" customFormat="1" x14ac:dyDescent="0.2">
      <c r="A1038" s="14" t="s">
        <v>2986</v>
      </c>
      <c r="B1038" s="14" t="s">
        <v>18</v>
      </c>
      <c r="C1038" s="14">
        <v>2025</v>
      </c>
      <c r="D1038" s="14" t="str">
        <f t="array" ref="D1038">_xlfn.SWITCH(E1038,"Bagor","35.18.14","Sukomoro",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8" s="13" t="s">
        <v>98</v>
      </c>
      <c r="F1038" s="25" t="s">
        <v>1817</v>
      </c>
      <c r="G1038" s="25" t="s">
        <v>1818</v>
      </c>
      <c r="H1038" s="13" t="s">
        <v>9</v>
      </c>
      <c r="I1038" s="25" t="s">
        <v>1703</v>
      </c>
      <c r="J1038" s="49">
        <v>51840</v>
      </c>
      <c r="K1038" s="13" t="s">
        <v>953</v>
      </c>
      <c r="L1038" s="48">
        <v>129600000</v>
      </c>
      <c r="M1038" s="46"/>
      <c r="N1038" s="17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</row>
    <row r="1039" spans="1:67" s="3" customFormat="1" x14ac:dyDescent="0.2">
      <c r="A1039" s="14" t="s">
        <v>2986</v>
      </c>
      <c r="B1039" s="14" t="s">
        <v>18</v>
      </c>
      <c r="C1039" s="14">
        <v>2025</v>
      </c>
      <c r="D1039" s="14" t="str">
        <f t="array" ref="D1039">_xlfn.SWITCH(E1039,"Bagor","35.18.14","Sukomoro",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9" s="13" t="s">
        <v>98</v>
      </c>
      <c r="F1039" s="25" t="s">
        <v>1815</v>
      </c>
      <c r="G1039" s="25" t="s">
        <v>1819</v>
      </c>
      <c r="H1039" s="13" t="s">
        <v>9</v>
      </c>
      <c r="I1039" s="25" t="s">
        <v>1288</v>
      </c>
      <c r="J1039" s="49">
        <v>4320</v>
      </c>
      <c r="K1039" s="13" t="s">
        <v>700</v>
      </c>
      <c r="L1039" s="48">
        <v>99360000</v>
      </c>
      <c r="M1039" s="46"/>
      <c r="N1039" s="17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</row>
    <row r="1040" spans="1:67" s="3" customFormat="1" x14ac:dyDescent="0.2">
      <c r="A1040" s="14" t="s">
        <v>2986</v>
      </c>
      <c r="B1040" s="14" t="s">
        <v>18</v>
      </c>
      <c r="C1040" s="14">
        <v>2025</v>
      </c>
      <c r="D1040" s="14" t="str">
        <f t="array" ref="D1040">_xlfn.SWITCH(E1040,"Bagor","35.18.14","Sukomoro",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0" s="13" t="s">
        <v>98</v>
      </c>
      <c r="F1040" s="25" t="s">
        <v>1820</v>
      </c>
      <c r="G1040" s="25" t="s">
        <v>1821</v>
      </c>
      <c r="H1040" s="13" t="s">
        <v>9</v>
      </c>
      <c r="I1040" s="25" t="s">
        <v>265</v>
      </c>
      <c r="J1040" s="49">
        <v>438</v>
      </c>
      <c r="K1040" s="13" t="s">
        <v>730</v>
      </c>
      <c r="L1040" s="48">
        <v>4117200000</v>
      </c>
      <c r="M1040" s="46"/>
      <c r="N1040" s="17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</row>
    <row r="1041" spans="1:67" s="3" customFormat="1" x14ac:dyDescent="0.2">
      <c r="A1041" s="14" t="s">
        <v>2986</v>
      </c>
      <c r="B1041" s="14" t="s">
        <v>18</v>
      </c>
      <c r="C1041" s="14">
        <v>2025</v>
      </c>
      <c r="D1041" s="14" t="str">
        <f t="array" ref="D1041">_xlfn.SWITCH(E1041,"Bagor","35.18.14","Sukomoro",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1" s="13" t="s">
        <v>98</v>
      </c>
      <c r="F1041" s="25" t="s">
        <v>1822</v>
      </c>
      <c r="G1041" s="25" t="s">
        <v>1823</v>
      </c>
      <c r="H1041" s="13" t="s">
        <v>9</v>
      </c>
      <c r="I1041" s="25" t="s">
        <v>1824</v>
      </c>
      <c r="J1041" s="49">
        <v>172800</v>
      </c>
      <c r="K1041" s="13" t="s">
        <v>953</v>
      </c>
      <c r="L1041" s="48">
        <v>86400000</v>
      </c>
      <c r="M1041" s="46"/>
      <c r="N1041" s="17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</row>
    <row r="1042" spans="1:67" s="3" customFormat="1" x14ac:dyDescent="0.2">
      <c r="A1042" s="14" t="s">
        <v>2986</v>
      </c>
      <c r="B1042" s="14" t="s">
        <v>18</v>
      </c>
      <c r="C1042" s="14">
        <v>2025</v>
      </c>
      <c r="D1042" s="14" t="str">
        <f t="array" ref="D1042">_xlfn.SWITCH(E1042,"Bagor","35.18.14","Sukomoro",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2" s="13" t="s">
        <v>98</v>
      </c>
      <c r="F1042" s="25" t="s">
        <v>1825</v>
      </c>
      <c r="G1042" s="25" t="s">
        <v>1826</v>
      </c>
      <c r="H1042" s="13" t="s">
        <v>9</v>
      </c>
      <c r="I1042" s="25" t="s">
        <v>1827</v>
      </c>
      <c r="J1042" s="49">
        <v>10080</v>
      </c>
      <c r="K1042" s="13" t="s">
        <v>700</v>
      </c>
      <c r="L1042" s="48">
        <v>403200000</v>
      </c>
      <c r="M1042" s="46"/>
      <c r="N1042" s="17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</row>
    <row r="1043" spans="1:67" s="3" customFormat="1" x14ac:dyDescent="0.2">
      <c r="A1043" s="14" t="s">
        <v>2986</v>
      </c>
      <c r="B1043" s="14" t="s">
        <v>18</v>
      </c>
      <c r="C1043" s="14">
        <v>2025</v>
      </c>
      <c r="D1043" s="14" t="str">
        <f t="array" ref="D1043">_xlfn.SWITCH(E1043,"Bagor","35.18.14","Sukomoro",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3" s="13" t="s">
        <v>98</v>
      </c>
      <c r="F1043" s="25" t="s">
        <v>1828</v>
      </c>
      <c r="G1043" s="25" t="s">
        <v>1829</v>
      </c>
      <c r="H1043" s="13" t="s">
        <v>9</v>
      </c>
      <c r="I1043" s="25" t="s">
        <v>1830</v>
      </c>
      <c r="J1043" s="49">
        <v>4320</v>
      </c>
      <c r="K1043" s="13" t="s">
        <v>953</v>
      </c>
      <c r="L1043" s="48">
        <v>64000000</v>
      </c>
      <c r="M1043" s="46"/>
      <c r="N1043" s="17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</row>
    <row r="1044" spans="1:67" x14ac:dyDescent="0.2">
      <c r="A1044" s="14" t="s">
        <v>2986</v>
      </c>
      <c r="B1044" s="14" t="s">
        <v>18</v>
      </c>
      <c r="C1044" s="14">
        <v>2025</v>
      </c>
      <c r="D1044" s="14" t="str">
        <f t="array" ref="D1044">_xlfn.SWITCH(E1044,"Jatikalen","35.18.20","Kertosono", "35.18.08","Lengkong","35.18.19","Loceret","35.18.04","Tanjunganom","35.18.11","Wilangan","35.18.15")</f>
        <v>35.18.11</v>
      </c>
      <c r="E1044" s="13" t="s">
        <v>27</v>
      </c>
      <c r="F1044" s="25" t="s">
        <v>1831</v>
      </c>
      <c r="G1044" s="25" t="s">
        <v>1832</v>
      </c>
      <c r="H1044" s="13" t="s">
        <v>9</v>
      </c>
      <c r="I1044" s="25" t="s">
        <v>1703</v>
      </c>
      <c r="J1044" s="49">
        <v>15000</v>
      </c>
      <c r="K1044" s="13" t="s">
        <v>953</v>
      </c>
      <c r="L1044" s="48">
        <v>75000000</v>
      </c>
      <c r="M1044" s="46"/>
      <c r="N1044" s="17"/>
    </row>
    <row r="1045" spans="1:67" x14ac:dyDescent="0.2">
      <c r="A1045" s="14" t="s">
        <v>2986</v>
      </c>
      <c r="B1045" s="14" t="s">
        <v>18</v>
      </c>
      <c r="C1045" s="14">
        <v>2025</v>
      </c>
      <c r="D1045" s="14" t="str">
        <f t="array" ref="D1045">_xlfn.SWITCH(E1045,"Jatikalen","35.18.20","Kertosono", "35.18.08","Lengkong","35.18.19","Loceret","35.18.04","Tanjunganom","35.18.11","Wilangan","35.18.15")</f>
        <v>35.18.11</v>
      </c>
      <c r="E1045" s="13" t="s">
        <v>27</v>
      </c>
      <c r="F1045" s="25" t="s">
        <v>1831</v>
      </c>
      <c r="G1045" s="25" t="s">
        <v>1833</v>
      </c>
      <c r="H1045" s="13" t="s">
        <v>9</v>
      </c>
      <c r="I1045" s="25" t="s">
        <v>1830</v>
      </c>
      <c r="J1045" s="49">
        <v>5760</v>
      </c>
      <c r="K1045" s="13" t="s">
        <v>953</v>
      </c>
      <c r="L1045" s="48">
        <v>288000000</v>
      </c>
      <c r="M1045" s="46"/>
      <c r="N1045" s="17"/>
    </row>
    <row r="1046" spans="1:67" x14ac:dyDescent="0.2">
      <c r="A1046" s="14" t="s">
        <v>2986</v>
      </c>
      <c r="B1046" s="14" t="s">
        <v>18</v>
      </c>
      <c r="C1046" s="14">
        <v>2025</v>
      </c>
      <c r="D1046" s="14" t="str">
        <f t="array" ref="D1046">_xlfn.SWITCH(E1046,"Jatikalen","35.18.20","Kertosono", "35.18.08","Lengkong","35.18.19","Loceret","35.18.04","Tanjunganom","35.18.11","Wilangan","35.18.15")</f>
        <v>35.18.11</v>
      </c>
      <c r="E1046" s="13" t="s">
        <v>27</v>
      </c>
      <c r="F1046" s="25" t="s">
        <v>1764</v>
      </c>
      <c r="G1046" s="25" t="s">
        <v>1834</v>
      </c>
      <c r="H1046" s="13" t="s">
        <v>9</v>
      </c>
      <c r="I1046" s="25" t="s">
        <v>109</v>
      </c>
      <c r="J1046" s="49">
        <v>16800</v>
      </c>
      <c r="K1046" s="13" t="s">
        <v>700</v>
      </c>
      <c r="L1046" s="48">
        <v>252000000</v>
      </c>
      <c r="M1046" s="46"/>
      <c r="N1046" s="17"/>
    </row>
    <row r="1047" spans="1:67" x14ac:dyDescent="0.2">
      <c r="A1047" s="14" t="s">
        <v>2986</v>
      </c>
      <c r="B1047" s="14" t="s">
        <v>18</v>
      </c>
      <c r="C1047" s="14">
        <v>2025</v>
      </c>
      <c r="D1047" s="14" t="str">
        <f t="array" ref="D1047">_xlfn.SWITCH(E1047,"Jatikalen","35.18.20","Kertosono", "35.18.08","Lengkong","35.18.19","Loceret","35.18.04","Tanjunganom","35.18.11","Wilangan","35.18.15")</f>
        <v>35.18.11</v>
      </c>
      <c r="E1047" s="13" t="s">
        <v>27</v>
      </c>
      <c r="F1047" s="25" t="s">
        <v>1835</v>
      </c>
      <c r="G1047" s="25" t="s">
        <v>1836</v>
      </c>
      <c r="H1047" s="13" t="s">
        <v>9</v>
      </c>
      <c r="I1047" s="25" t="s">
        <v>114</v>
      </c>
      <c r="J1047" s="49">
        <v>57600</v>
      </c>
      <c r="K1047" s="13" t="s">
        <v>700</v>
      </c>
      <c r="L1047" s="48">
        <v>535680000</v>
      </c>
      <c r="M1047" s="46"/>
      <c r="N1047" s="17"/>
    </row>
    <row r="1048" spans="1:67" x14ac:dyDescent="0.2">
      <c r="A1048" s="14" t="s">
        <v>2986</v>
      </c>
      <c r="B1048" s="14" t="s">
        <v>18</v>
      </c>
      <c r="C1048" s="14">
        <v>2025</v>
      </c>
      <c r="D1048" s="14" t="str">
        <f t="array" ref="D1048">_xlfn.SWITCH(E1048,"Jatikalen","35.18.20","Kertosono", "35.18.08","Lengkong","35.18.19","Loceret","35.18.04","Tanjunganom","35.18.11","Wilangan","35.18.15")</f>
        <v>35.18.11</v>
      </c>
      <c r="E1048" s="13" t="s">
        <v>27</v>
      </c>
      <c r="F1048" s="25" t="s">
        <v>1837</v>
      </c>
      <c r="G1048" s="25" t="s">
        <v>1838</v>
      </c>
      <c r="H1048" s="13" t="s">
        <v>9</v>
      </c>
      <c r="I1048" s="25" t="s">
        <v>1458</v>
      </c>
      <c r="J1048" s="49">
        <v>20</v>
      </c>
      <c r="K1048" s="13" t="s">
        <v>1068</v>
      </c>
      <c r="L1048" s="48">
        <v>84000000</v>
      </c>
      <c r="M1048" s="46"/>
      <c r="N1048" s="17"/>
    </row>
    <row r="1049" spans="1:67" x14ac:dyDescent="0.2">
      <c r="A1049" s="14" t="s">
        <v>2986</v>
      </c>
      <c r="B1049" s="14" t="s">
        <v>18</v>
      </c>
      <c r="C1049" s="14">
        <v>2025</v>
      </c>
      <c r="D1049" s="14" t="str">
        <f t="array" ref="D1049">_xlfn.SWITCH(E1049,"Jatikalen","35.18.20","Kertosono", "35.18.08","Lengkong","35.18.19","Loceret","35.18.04","Tanjunganom","35.18.11","Wilangan","35.18.15")</f>
        <v>35.18.11</v>
      </c>
      <c r="E1049" s="13" t="s">
        <v>27</v>
      </c>
      <c r="F1049" s="25" t="s">
        <v>1764</v>
      </c>
      <c r="G1049" s="25" t="s">
        <v>1839</v>
      </c>
      <c r="H1049" s="13" t="s">
        <v>9</v>
      </c>
      <c r="I1049" s="25" t="s">
        <v>1703</v>
      </c>
      <c r="J1049" s="49">
        <v>12500</v>
      </c>
      <c r="K1049" s="13" t="s">
        <v>953</v>
      </c>
      <c r="L1049" s="48">
        <v>62500000</v>
      </c>
      <c r="M1049" s="46"/>
      <c r="N1049" s="17"/>
    </row>
    <row r="1050" spans="1:67" s="57" customFormat="1" ht="10.5" x14ac:dyDescent="0.25">
      <c r="A1050" s="14" t="s">
        <v>2986</v>
      </c>
      <c r="B1050" s="14" t="s">
        <v>18</v>
      </c>
      <c r="C1050" s="14">
        <v>2025</v>
      </c>
      <c r="D1050" s="14" t="str">
        <f t="array" ref="D1050">_xlfn.SWITCH(E1050,"Bagor","35.18.14","Sukomoro",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0" s="13" t="s">
        <v>84</v>
      </c>
      <c r="F1050" s="25" t="s">
        <v>731</v>
      </c>
      <c r="G1050" s="25" t="s">
        <v>1840</v>
      </c>
      <c r="H1050" s="13" t="s">
        <v>9</v>
      </c>
      <c r="I1050" s="14" t="s">
        <v>1841</v>
      </c>
      <c r="J1050" s="30">
        <f>200*12*25</f>
        <v>60000</v>
      </c>
      <c r="K1050" s="13" t="s">
        <v>1015</v>
      </c>
      <c r="L1050" s="48">
        <v>187200000</v>
      </c>
      <c r="M1050" s="54"/>
      <c r="N1050" s="55"/>
      <c r="O1050" s="56"/>
    </row>
    <row r="1051" spans="1:67" x14ac:dyDescent="0.2">
      <c r="A1051" s="14" t="s">
        <v>2986</v>
      </c>
      <c r="B1051" s="14" t="s">
        <v>18</v>
      </c>
      <c r="C1051" s="14">
        <v>2025</v>
      </c>
      <c r="D1051" s="14" t="str">
        <f t="array" ref="D1051">_xlfn.SWITCH(E1051,"Bagor","35.18.14","Sukomoro",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1" s="13" t="s">
        <v>84</v>
      </c>
      <c r="F1051" s="25" t="s">
        <v>731</v>
      </c>
      <c r="G1051" s="25" t="s">
        <v>1840</v>
      </c>
      <c r="H1051" s="13" t="s">
        <v>9</v>
      </c>
      <c r="I1051" s="14" t="s">
        <v>1841</v>
      </c>
      <c r="J1051" s="15">
        <f>200*12*25</f>
        <v>60000</v>
      </c>
      <c r="K1051" s="13" t="s">
        <v>1015</v>
      </c>
      <c r="L1051" s="48">
        <v>156000000</v>
      </c>
      <c r="M1051" s="58"/>
    </row>
    <row r="1052" spans="1:67" x14ac:dyDescent="0.2">
      <c r="A1052" s="14" t="s">
        <v>2986</v>
      </c>
      <c r="B1052" s="14" t="s">
        <v>18</v>
      </c>
      <c r="C1052" s="14">
        <v>2025</v>
      </c>
      <c r="D1052" s="14" t="str">
        <f t="array" ref="D1052">_xlfn.SWITCH(E1052,"Bagor","35.18.14","Sukomoro",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2" s="13" t="s">
        <v>84</v>
      </c>
      <c r="F1052" s="25" t="s">
        <v>731</v>
      </c>
      <c r="G1052" s="25" t="s">
        <v>1840</v>
      </c>
      <c r="H1052" s="13" t="s">
        <v>9</v>
      </c>
      <c r="I1052" s="14" t="s">
        <v>1841</v>
      </c>
      <c r="J1052" s="15">
        <f>400*300</f>
        <v>120000</v>
      </c>
      <c r="K1052" s="13" t="s">
        <v>1015</v>
      </c>
      <c r="L1052" s="48">
        <v>1248000000</v>
      </c>
      <c r="M1052" s="58"/>
    </row>
    <row r="1053" spans="1:67" x14ac:dyDescent="0.2">
      <c r="A1053" s="14" t="s">
        <v>2986</v>
      </c>
      <c r="B1053" s="14" t="s">
        <v>18</v>
      </c>
      <c r="C1053" s="14">
        <v>2025</v>
      </c>
      <c r="D1053" s="14" t="str">
        <f t="array" ref="D1053">_xlfn.SWITCH(E1053,"Bagor","35.18.14","Sukomoro",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3" s="13" t="s">
        <v>84</v>
      </c>
      <c r="F1053" s="25" t="s">
        <v>731</v>
      </c>
      <c r="G1053" s="25" t="s">
        <v>1840</v>
      </c>
      <c r="H1053" s="13" t="s">
        <v>9</v>
      </c>
      <c r="I1053" s="14" t="s">
        <v>1841</v>
      </c>
      <c r="J1053" s="22">
        <v>10000</v>
      </c>
      <c r="K1053" s="13" t="s">
        <v>1251</v>
      </c>
      <c r="L1053" s="48">
        <v>200000000</v>
      </c>
      <c r="M1053" s="58"/>
    </row>
    <row r="1054" spans="1:67" x14ac:dyDescent="0.2">
      <c r="A1054" s="14" t="s">
        <v>2986</v>
      </c>
      <c r="B1054" s="14" t="s">
        <v>18</v>
      </c>
      <c r="C1054" s="14">
        <v>2025</v>
      </c>
      <c r="D1054" s="14" t="str">
        <f t="array" ref="D1054">_xlfn.SWITCH(E1054,"Jatikalen","35.18.20","Kertosono", "35.18.08","Lengkong","35.18.19","Loceret","35.18.04","Tanjunganom","35.18.11","Wilangan","35.18.15")</f>
        <v>35.18.08</v>
      </c>
      <c r="E1054" s="13" t="s">
        <v>75</v>
      </c>
      <c r="F1054" s="25" t="s">
        <v>266</v>
      </c>
      <c r="G1054" s="25" t="s">
        <v>823</v>
      </c>
      <c r="H1054" s="59" t="s">
        <v>9</v>
      </c>
      <c r="I1054" s="25" t="s">
        <v>823</v>
      </c>
      <c r="J1054" s="22">
        <f>35*300</f>
        <v>10500</v>
      </c>
      <c r="K1054" s="13" t="s">
        <v>700</v>
      </c>
      <c r="L1054" s="48">
        <f>8000*J1054</f>
        <v>84000000</v>
      </c>
      <c r="M1054" s="58"/>
    </row>
    <row r="1055" spans="1:67" x14ac:dyDescent="0.2">
      <c r="A1055" s="14" t="s">
        <v>2986</v>
      </c>
      <c r="B1055" s="14" t="s">
        <v>18</v>
      </c>
      <c r="C1055" s="14">
        <v>2025</v>
      </c>
      <c r="D1055" s="14" t="str">
        <f t="array" ref="D1055">_xlfn.SWITCH(E1055,"Jatikalen","35.18.20","Kertosono", "35.18.08","Lengkong","35.18.19","Loceret","35.18.04","Tanjunganom","35.18.11","Wilangan","35.18.15")</f>
        <v>35.18.08</v>
      </c>
      <c r="E1055" s="13" t="s">
        <v>75</v>
      </c>
      <c r="F1055" s="25" t="s">
        <v>266</v>
      </c>
      <c r="G1055" s="25" t="s">
        <v>823</v>
      </c>
      <c r="H1055" s="59" t="s">
        <v>9</v>
      </c>
      <c r="I1055" s="25" t="s">
        <v>823</v>
      </c>
      <c r="J1055" s="15">
        <f>50*300</f>
        <v>15000</v>
      </c>
      <c r="K1055" s="13" t="s">
        <v>700</v>
      </c>
      <c r="L1055" s="48">
        <f>7600*J1055</f>
        <v>114000000</v>
      </c>
      <c r="M1055" s="58"/>
    </row>
    <row r="1056" spans="1:67" x14ac:dyDescent="0.2">
      <c r="A1056" s="14" t="s">
        <v>2986</v>
      </c>
      <c r="B1056" s="14" t="s">
        <v>18</v>
      </c>
      <c r="C1056" s="14">
        <v>2025</v>
      </c>
      <c r="D1056" s="14" t="str">
        <f t="array" ref="D1056">_xlfn.SWITCH(E1056,"Jatikalen","35.18.20","Kertosono", "35.18.08","Lengkong","35.18.19","Loceret","35.18.04","Tanjunganom","35.18.11","Wilangan","35.18.15")</f>
        <v>35.18.08</v>
      </c>
      <c r="E1056" s="13" t="s">
        <v>75</v>
      </c>
      <c r="F1056" s="25" t="s">
        <v>266</v>
      </c>
      <c r="G1056" s="25" t="s">
        <v>823</v>
      </c>
      <c r="H1056" s="59" t="s">
        <v>9</v>
      </c>
      <c r="I1056" s="25" t="s">
        <v>823</v>
      </c>
      <c r="J1056" s="15">
        <f>50*300</f>
        <v>15000</v>
      </c>
      <c r="K1056" s="13" t="s">
        <v>700</v>
      </c>
      <c r="L1056" s="22">
        <f>7850*J1056</f>
        <v>117750000</v>
      </c>
      <c r="M1056" s="58"/>
    </row>
    <row r="1057" spans="1:13" x14ac:dyDescent="0.2">
      <c r="A1057" s="14" t="s">
        <v>2986</v>
      </c>
      <c r="B1057" s="14" t="s">
        <v>18</v>
      </c>
      <c r="C1057" s="14">
        <v>2025</v>
      </c>
      <c r="D1057" s="14" t="str">
        <f t="array" ref="D1057">_xlfn.SWITCH(E1057,"Jatikalen","35.18.20","Kertosono", "35.18.08","Lengkong","35.18.19","Loceret","35.18.04","Tanjunganom","35.18.11","Wilangan","35.18.15")</f>
        <v>35.18.08</v>
      </c>
      <c r="E1057" s="13" t="s">
        <v>75</v>
      </c>
      <c r="F1057" s="14" t="s">
        <v>460</v>
      </c>
      <c r="G1057" s="25" t="s">
        <v>109</v>
      </c>
      <c r="H1057" s="59" t="s">
        <v>9</v>
      </c>
      <c r="I1057" s="14" t="s">
        <v>109</v>
      </c>
      <c r="J1057" s="15">
        <v>9</v>
      </c>
      <c r="K1057" s="13" t="s">
        <v>730</v>
      </c>
      <c r="L1057" s="22">
        <v>45000000</v>
      </c>
      <c r="M1057" s="58"/>
    </row>
    <row r="1058" spans="1:13" x14ac:dyDescent="0.2">
      <c r="A1058" s="14" t="s">
        <v>2986</v>
      </c>
      <c r="B1058" s="14" t="s">
        <v>18</v>
      </c>
      <c r="C1058" s="14">
        <v>2025</v>
      </c>
      <c r="D1058" s="14" t="str">
        <f t="array" ref="D1058">_xlfn.SWITCH(E1058,"Jatikalen","35.18.20","Kertosono", "35.18.08","Lengkong","35.18.19","Loceret","35.18.04","Tanjunganom","35.18.11","Wilangan","35.18.15")</f>
        <v>35.18.08</v>
      </c>
      <c r="E1058" s="13" t="s">
        <v>75</v>
      </c>
      <c r="F1058" s="14" t="s">
        <v>460</v>
      </c>
      <c r="G1058" s="25" t="s">
        <v>109</v>
      </c>
      <c r="H1058" s="59" t="s">
        <v>9</v>
      </c>
      <c r="I1058" s="14" t="s">
        <v>109</v>
      </c>
      <c r="J1058" s="22">
        <v>2</v>
      </c>
      <c r="K1058" s="13" t="s">
        <v>730</v>
      </c>
      <c r="L1058" s="22">
        <v>900000</v>
      </c>
      <c r="M1058" s="58"/>
    </row>
    <row r="1059" spans="1:13" x14ac:dyDescent="0.2">
      <c r="A1059" s="14" t="s">
        <v>2986</v>
      </c>
      <c r="B1059" s="14" t="s">
        <v>18</v>
      </c>
      <c r="C1059" s="14">
        <v>2025</v>
      </c>
      <c r="D1059" s="14" t="str">
        <f t="array" ref="D1059">_xlfn.SWITCH(E1059,"Jatikalen","35.18.20","Kertosono", "35.18.08","Lengkong","35.18.19","Loceret","35.18.04","Tanjunganom","35.18.11","Wilangan","35.18.15")</f>
        <v>35.18.08</v>
      </c>
      <c r="E1059" s="13" t="s">
        <v>75</v>
      </c>
      <c r="F1059" s="14" t="s">
        <v>460</v>
      </c>
      <c r="G1059" s="25" t="s">
        <v>109</v>
      </c>
      <c r="H1059" s="59" t="s">
        <v>9</v>
      </c>
      <c r="I1059" s="14" t="s">
        <v>109</v>
      </c>
      <c r="J1059" s="22">
        <v>6</v>
      </c>
      <c r="K1059" s="13" t="s">
        <v>730</v>
      </c>
      <c r="L1059" s="22">
        <v>45000000</v>
      </c>
      <c r="M1059" s="58"/>
    </row>
    <row r="1060" spans="1:13" x14ac:dyDescent="0.2">
      <c r="A1060" s="14" t="s">
        <v>2986</v>
      </c>
      <c r="B1060" s="14" t="s">
        <v>18</v>
      </c>
      <c r="C1060" s="14">
        <v>2025</v>
      </c>
      <c r="D1060" s="14" t="str">
        <f t="array" ref="D1060">_xlfn.SWITCH(E1060,"Jatikalen","35.18.20","Kertosono", "35.18.08","Lengkong","35.18.19","Loceret","35.18.04","Tanjunganom","35.18.11","Wilangan","35.18.15")</f>
        <v>35.18.08</v>
      </c>
      <c r="E1060" s="13" t="s">
        <v>75</v>
      </c>
      <c r="F1060" s="14" t="s">
        <v>460</v>
      </c>
      <c r="G1060" s="25" t="s">
        <v>109</v>
      </c>
      <c r="H1060" s="59" t="s">
        <v>9</v>
      </c>
      <c r="I1060" s="14" t="s">
        <v>109</v>
      </c>
      <c r="J1060" s="22">
        <v>8</v>
      </c>
      <c r="K1060" s="13" t="s">
        <v>730</v>
      </c>
      <c r="L1060" s="22">
        <v>52500000</v>
      </c>
      <c r="M1060" s="24"/>
    </row>
    <row r="1061" spans="1:13" x14ac:dyDescent="0.2">
      <c r="A1061" s="14" t="s">
        <v>2986</v>
      </c>
      <c r="B1061" s="14" t="s">
        <v>18</v>
      </c>
      <c r="C1061" s="14">
        <v>2025</v>
      </c>
      <c r="D1061" s="14" t="str">
        <f t="array" ref="D1061">_xlfn.SWITCH(E1061,"Jatikalen","35.18.20","Kertosono", "35.18.08","Lengkong","35.18.19","Loceret","35.18.04","Tanjunganom","35.18.11","Wilangan","35.18.15")</f>
        <v>35.18.08</v>
      </c>
      <c r="E1061" s="13" t="s">
        <v>75</v>
      </c>
      <c r="F1061" s="14" t="s">
        <v>460</v>
      </c>
      <c r="G1061" s="25" t="s">
        <v>109</v>
      </c>
      <c r="H1061" s="59" t="s">
        <v>9</v>
      </c>
      <c r="I1061" s="14" t="s">
        <v>109</v>
      </c>
      <c r="J1061" s="15">
        <v>8</v>
      </c>
      <c r="K1061" s="13" t="s">
        <v>730</v>
      </c>
      <c r="L1061" s="22">
        <v>60000000</v>
      </c>
      <c r="M1061" s="24"/>
    </row>
    <row r="1062" spans="1:13" x14ac:dyDescent="0.2">
      <c r="A1062" s="14" t="s">
        <v>2986</v>
      </c>
      <c r="B1062" s="14" t="s">
        <v>18</v>
      </c>
      <c r="C1062" s="14">
        <v>2025</v>
      </c>
      <c r="D1062" s="14" t="str">
        <f t="array" ref="D1062">_xlfn.SWITCH(E1062,"Bagor","35.18.14","Sukomoro",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62" s="13" t="s">
        <v>98</v>
      </c>
      <c r="F1062" s="25" t="s">
        <v>1842</v>
      </c>
      <c r="G1062" s="25" t="s">
        <v>795</v>
      </c>
      <c r="H1062" s="59" t="s">
        <v>9</v>
      </c>
      <c r="I1062" s="14" t="s">
        <v>1843</v>
      </c>
      <c r="J1062" s="15">
        <f>100*12</f>
        <v>1200</v>
      </c>
      <c r="K1062" s="13" t="s">
        <v>1015</v>
      </c>
      <c r="L1062" s="22">
        <f>30000*J1062</f>
        <v>36000000</v>
      </c>
      <c r="M1062" s="24"/>
    </row>
    <row r="1063" spans="1:13" ht="20" x14ac:dyDescent="0.2">
      <c r="A1063" s="14" t="s">
        <v>2986</v>
      </c>
      <c r="B1063" s="14" t="s">
        <v>18</v>
      </c>
      <c r="C1063" s="14">
        <v>2025</v>
      </c>
      <c r="D1063" s="14" t="str">
        <f t="array" ref="D1063">_xlfn.SWITCH(E1063,"Bagor","35.18.14","Sukomoro",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63" s="13" t="s">
        <v>18</v>
      </c>
      <c r="F1063" s="25" t="s">
        <v>1844</v>
      </c>
      <c r="G1063" s="25" t="s">
        <v>1845</v>
      </c>
      <c r="H1063" s="59" t="s">
        <v>9</v>
      </c>
      <c r="I1063" s="14" t="s">
        <v>1846</v>
      </c>
      <c r="J1063" s="15">
        <f>5*25*12</f>
        <v>1500</v>
      </c>
      <c r="K1063" s="13" t="s">
        <v>1186</v>
      </c>
      <c r="L1063" s="22">
        <v>30000000</v>
      </c>
      <c r="M1063" s="24"/>
    </row>
    <row r="1064" spans="1:13" ht="20" x14ac:dyDescent="0.2">
      <c r="A1064" s="14" t="s">
        <v>2986</v>
      </c>
      <c r="B1064" s="14" t="s">
        <v>18</v>
      </c>
      <c r="C1064" s="14">
        <v>2025</v>
      </c>
      <c r="D1064" s="14" t="str">
        <f t="array" ref="D1064">_xlfn.SWITCH(E1064,"Jatikalen","35.18.20","Kertosono", "35.18.08","Lengkong","35.18.19","Loceret","35.18.04","Tanjunganom","35.18.11","Wilangan","35.18.15")</f>
        <v>35.18.11</v>
      </c>
      <c r="E1064" s="13" t="s">
        <v>27</v>
      </c>
      <c r="F1064" s="25" t="s">
        <v>1847</v>
      </c>
      <c r="G1064" s="25" t="s">
        <v>1848</v>
      </c>
      <c r="H1064" s="59" t="s">
        <v>9</v>
      </c>
      <c r="I1064" s="14" t="s">
        <v>993</v>
      </c>
      <c r="J1064" s="15">
        <v>2000</v>
      </c>
      <c r="K1064" s="13" t="s">
        <v>994</v>
      </c>
      <c r="L1064" s="22">
        <f>J1064*200000</f>
        <v>400000000</v>
      </c>
      <c r="M1064" s="24"/>
    </row>
    <row r="1065" spans="1:13" x14ac:dyDescent="0.2">
      <c r="A1065" s="14" t="s">
        <v>2986</v>
      </c>
      <c r="B1065" s="14" t="s">
        <v>18</v>
      </c>
      <c r="C1065" s="14">
        <v>2025</v>
      </c>
      <c r="D1065" s="14" t="str">
        <f t="array" ref="D1065">_xlfn.SWITCH(E1065,"Bagor","35.18.14","Sukomoro",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65" s="13" t="s">
        <v>57</v>
      </c>
      <c r="F1065" s="25" t="s">
        <v>1849</v>
      </c>
      <c r="G1065" s="25" t="s">
        <v>1850</v>
      </c>
      <c r="H1065" s="59" t="s">
        <v>9</v>
      </c>
      <c r="I1065" s="14" t="s">
        <v>121</v>
      </c>
      <c r="J1065" s="15">
        <f>100*12*25</f>
        <v>30000</v>
      </c>
      <c r="K1065" s="13" t="s">
        <v>700</v>
      </c>
      <c r="L1065" s="22">
        <v>750000000</v>
      </c>
      <c r="M1065" s="24"/>
    </row>
    <row r="1066" spans="1:13" x14ac:dyDescent="0.2">
      <c r="A1066" s="14" t="s">
        <v>2986</v>
      </c>
      <c r="B1066" s="14" t="s">
        <v>18</v>
      </c>
      <c r="C1066" s="14">
        <v>2025</v>
      </c>
      <c r="D1066" s="14" t="str">
        <f t="array" ref="D1066">_xlfn.SWITCH(E1066,"Jatikalen","35.18.20","Kertosono", "35.18.08","Lengkong","35.18.19","Loceret","35.18.04","Tanjunganom","35.18.11","Wilangan","35.18.15")</f>
        <v>35.18.19</v>
      </c>
      <c r="E1066" s="13" t="s">
        <v>30</v>
      </c>
      <c r="F1066" s="25" t="s">
        <v>1160</v>
      </c>
      <c r="G1066" s="25" t="s">
        <v>1851</v>
      </c>
      <c r="H1066" s="13" t="s">
        <v>9</v>
      </c>
      <c r="I1066" s="14" t="s">
        <v>993</v>
      </c>
      <c r="J1066" s="15">
        <v>1000</v>
      </c>
      <c r="K1066" s="13" t="s">
        <v>994</v>
      </c>
      <c r="L1066" s="22">
        <f>J1066*275000</f>
        <v>275000000</v>
      </c>
      <c r="M1066" s="24"/>
    </row>
    <row r="1067" spans="1:13" x14ac:dyDescent="0.2">
      <c r="A1067" s="14" t="s">
        <v>2986</v>
      </c>
      <c r="B1067" s="14" t="s">
        <v>18</v>
      </c>
      <c r="C1067" s="14">
        <v>2025</v>
      </c>
      <c r="D1067" s="14" t="str">
        <f t="array" ref="D1067">_xlfn.SWITCH(E1067,"Jatikalen","35.18.20","Kertosono", "35.18.08","Lengkong","35.18.19","Loceret","35.18.04","Tanjunganom","35.18.11","Wilangan","35.18.15")</f>
        <v>35.18.19</v>
      </c>
      <c r="E1067" s="13" t="s">
        <v>30</v>
      </c>
      <c r="F1067" s="25" t="s">
        <v>1160</v>
      </c>
      <c r="G1067" s="25" t="s">
        <v>1851</v>
      </c>
      <c r="H1067" s="13" t="s">
        <v>9</v>
      </c>
      <c r="I1067" s="14" t="s">
        <v>993</v>
      </c>
      <c r="J1067" s="15">
        <v>1200</v>
      </c>
      <c r="K1067" s="13" t="s">
        <v>994</v>
      </c>
      <c r="L1067" s="22">
        <f>J1067*275000</f>
        <v>330000000</v>
      </c>
      <c r="M1067" s="24"/>
    </row>
    <row r="1068" spans="1:13" x14ac:dyDescent="0.2">
      <c r="A1068" s="14" t="s">
        <v>2986</v>
      </c>
      <c r="B1068" s="14" t="s">
        <v>18</v>
      </c>
      <c r="C1068" s="14">
        <v>2025</v>
      </c>
      <c r="D1068" s="14" t="str">
        <f t="array" ref="D1068">_xlfn.SWITCH(E1068,"Jatikalen","35.18.20","Kertosono", "35.18.08","Lengkong","35.18.19","Loceret","35.18.04","Tanjunganom","35.18.11","Wilangan","35.18.15")</f>
        <v>35.18.11</v>
      </c>
      <c r="E1068" s="13" t="s">
        <v>27</v>
      </c>
      <c r="F1068" s="25" t="s">
        <v>1852</v>
      </c>
      <c r="G1068" s="25" t="s">
        <v>1853</v>
      </c>
      <c r="H1068" s="59" t="s">
        <v>9</v>
      </c>
      <c r="I1068" s="14" t="s">
        <v>993</v>
      </c>
      <c r="J1068" s="15">
        <f>10*25*12</f>
        <v>3000</v>
      </c>
      <c r="K1068" s="13" t="s">
        <v>994</v>
      </c>
      <c r="L1068" s="22">
        <f>J1068*175000</f>
        <v>525000000</v>
      </c>
      <c r="M1068" s="24"/>
    </row>
    <row r="1069" spans="1:13" x14ac:dyDescent="0.2">
      <c r="A1069" s="14" t="s">
        <v>2986</v>
      </c>
      <c r="B1069" s="14" t="s">
        <v>18</v>
      </c>
      <c r="C1069" s="14">
        <v>2025</v>
      </c>
      <c r="D1069" s="14" t="str">
        <f t="array" ref="D1069">_xlfn.SWITCH(E1069,"Bagor","35.18.14","Sukomoro",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69" s="13" t="s">
        <v>72</v>
      </c>
      <c r="F1069" s="25" t="s">
        <v>1854</v>
      </c>
      <c r="G1069" s="25" t="s">
        <v>1855</v>
      </c>
      <c r="H1069" s="59" t="s">
        <v>9</v>
      </c>
      <c r="I1069" s="14" t="s">
        <v>1856</v>
      </c>
      <c r="J1069" s="15">
        <f>5*25*12</f>
        <v>1500</v>
      </c>
      <c r="K1069" s="13" t="s">
        <v>1015</v>
      </c>
      <c r="L1069" s="22">
        <v>45000000</v>
      </c>
      <c r="M1069" s="24"/>
    </row>
    <row r="1070" spans="1:13" ht="20" x14ac:dyDescent="0.2">
      <c r="A1070" s="14" t="s">
        <v>2986</v>
      </c>
      <c r="B1070" s="14" t="s">
        <v>18</v>
      </c>
      <c r="C1070" s="14">
        <v>2025</v>
      </c>
      <c r="D1070" s="14" t="str">
        <f t="array" ref="D1070">_xlfn.SWITCH(E1070,"Bagor","35.18.14","Sukomoro",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70" s="13" t="s">
        <v>72</v>
      </c>
      <c r="F1070" s="25" t="s">
        <v>1857</v>
      </c>
      <c r="G1070" s="25" t="s">
        <v>1858</v>
      </c>
      <c r="H1070" s="59" t="s">
        <v>9</v>
      </c>
      <c r="I1070" s="14" t="s">
        <v>1071</v>
      </c>
      <c r="J1070" s="15">
        <f>10*25*12</f>
        <v>3000</v>
      </c>
      <c r="K1070" s="13" t="s">
        <v>700</v>
      </c>
      <c r="L1070" s="22">
        <v>45000000</v>
      </c>
      <c r="M1070" s="24"/>
    </row>
    <row r="1071" spans="1:13" ht="20" x14ac:dyDescent="0.2">
      <c r="A1071" s="14" t="s">
        <v>2986</v>
      </c>
      <c r="B1071" s="14" t="s">
        <v>18</v>
      </c>
      <c r="C1071" s="14">
        <v>2025</v>
      </c>
      <c r="D1071" s="14" t="str">
        <f t="array" ref="D1071">_xlfn.SWITCH(E1071,"Bagor","35.18.14","Sukomoro",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1" s="13" t="s">
        <v>18</v>
      </c>
      <c r="F1071" s="25" t="s">
        <v>1859</v>
      </c>
      <c r="G1071" s="25" t="s">
        <v>1860</v>
      </c>
      <c r="H1071" s="59" t="s">
        <v>9</v>
      </c>
      <c r="I1071" s="14" t="s">
        <v>121</v>
      </c>
      <c r="J1071" s="15">
        <f>6*25*12</f>
        <v>1800</v>
      </c>
      <c r="K1071" s="13" t="s">
        <v>700</v>
      </c>
      <c r="L1071" s="22">
        <v>45000000</v>
      </c>
      <c r="M1071" s="24"/>
    </row>
    <row r="1072" spans="1:13" ht="20" x14ac:dyDescent="0.2">
      <c r="A1072" s="14" t="s">
        <v>2986</v>
      </c>
      <c r="B1072" s="14" t="s">
        <v>18</v>
      </c>
      <c r="C1072" s="14">
        <v>2025</v>
      </c>
      <c r="D1072" s="14" t="str">
        <f t="array" ref="D1072">_xlfn.SWITCH(E1072,"Bagor","35.18.14","Sukomoro",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2" s="13" t="s">
        <v>57</v>
      </c>
      <c r="F1072" s="25" t="s">
        <v>1861</v>
      </c>
      <c r="G1072" s="25" t="s">
        <v>1862</v>
      </c>
      <c r="H1072" s="59" t="s">
        <v>9</v>
      </c>
      <c r="I1072" s="14" t="s">
        <v>1862</v>
      </c>
      <c r="J1072" s="15">
        <f>10*26*12</f>
        <v>3120</v>
      </c>
      <c r="K1072" s="13" t="s">
        <v>1015</v>
      </c>
      <c r="L1072" s="22">
        <v>15600000</v>
      </c>
      <c r="M1072" s="24"/>
    </row>
    <row r="1073" spans="1:13" ht="20" x14ac:dyDescent="0.2">
      <c r="A1073" s="14" t="s">
        <v>2986</v>
      </c>
      <c r="B1073" s="14" t="s">
        <v>18</v>
      </c>
      <c r="C1073" s="14">
        <v>2025</v>
      </c>
      <c r="D1073" s="14" t="str">
        <f t="array" ref="D1073">_xlfn.SWITCH(E1073,"Bagor","35.18.14","Sukomoro",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3" s="13" t="s">
        <v>7</v>
      </c>
      <c r="F1073" s="25" t="s">
        <v>1863</v>
      </c>
      <c r="G1073" s="25" t="s">
        <v>1864</v>
      </c>
      <c r="H1073" s="13" t="s">
        <v>20</v>
      </c>
      <c r="I1073" s="14" t="s">
        <v>1865</v>
      </c>
      <c r="J1073" s="15">
        <f>10*25*12</f>
        <v>3000</v>
      </c>
      <c r="K1073" s="13" t="s">
        <v>1015</v>
      </c>
      <c r="L1073" s="22">
        <v>135000000</v>
      </c>
      <c r="M1073" s="24"/>
    </row>
    <row r="1074" spans="1:13" ht="20" x14ac:dyDescent="0.2">
      <c r="A1074" s="14" t="s">
        <v>2986</v>
      </c>
      <c r="B1074" s="14" t="s">
        <v>18</v>
      </c>
      <c r="C1074" s="14">
        <v>2025</v>
      </c>
      <c r="D1074" s="14" t="str">
        <f t="array" ref="D1074">_xlfn.SWITCH(E1074,"Bagor","35.18.14","Sukomoro",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4" s="13" t="s">
        <v>18</v>
      </c>
      <c r="F1074" s="25" t="s">
        <v>1866</v>
      </c>
      <c r="G1074" s="25" t="s">
        <v>1867</v>
      </c>
      <c r="H1074" s="13" t="s">
        <v>9</v>
      </c>
      <c r="I1074" s="14" t="s">
        <v>1856</v>
      </c>
      <c r="J1074" s="15">
        <f>8*12*25</f>
        <v>2400</v>
      </c>
      <c r="K1074" s="13" t="s">
        <v>1015</v>
      </c>
      <c r="L1074" s="22">
        <v>12000000</v>
      </c>
      <c r="M1074" s="24"/>
    </row>
    <row r="1075" spans="1:13" x14ac:dyDescent="0.2">
      <c r="A1075" s="14" t="s">
        <v>2986</v>
      </c>
      <c r="B1075" s="14" t="s">
        <v>18</v>
      </c>
      <c r="C1075" s="14">
        <v>2025</v>
      </c>
      <c r="D1075" s="14" t="str">
        <f t="array" ref="D1075">_xlfn.SWITCH(E1075,"Bagor","35.18.14","Sukomoro",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5" s="13" t="s">
        <v>7</v>
      </c>
      <c r="F1075" s="25" t="s">
        <v>1868</v>
      </c>
      <c r="G1075" s="25" t="s">
        <v>1869</v>
      </c>
      <c r="H1075" s="13" t="s">
        <v>9</v>
      </c>
      <c r="I1075" s="14" t="s">
        <v>993</v>
      </c>
      <c r="J1075" s="15">
        <f>4*12*25</f>
        <v>1200</v>
      </c>
      <c r="K1075" s="13" t="s">
        <v>994</v>
      </c>
      <c r="L1075" s="48">
        <f>17500*J1075</f>
        <v>21000000</v>
      </c>
      <c r="M1075" s="24"/>
    </row>
    <row r="1076" spans="1:13" x14ac:dyDescent="0.2">
      <c r="A1076" s="14" t="s">
        <v>2986</v>
      </c>
      <c r="B1076" s="14" t="s">
        <v>18</v>
      </c>
      <c r="C1076" s="14">
        <v>2025</v>
      </c>
      <c r="D1076" s="14" t="str">
        <f t="array" ref="D1076">_xlfn.SWITCH(E1076,"Bagor","35.18.14","Sukomoro",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6" s="13" t="s">
        <v>18</v>
      </c>
      <c r="F1076" s="25" t="s">
        <v>1870</v>
      </c>
      <c r="G1076" s="25" t="s">
        <v>1608</v>
      </c>
      <c r="H1076" s="13" t="s">
        <v>9</v>
      </c>
      <c r="I1076" s="14" t="s">
        <v>121</v>
      </c>
      <c r="J1076" s="15">
        <f>50*25*12</f>
        <v>15000</v>
      </c>
      <c r="K1076" s="13" t="s">
        <v>1015</v>
      </c>
      <c r="L1076" s="22">
        <v>37500000</v>
      </c>
      <c r="M1076" s="24"/>
    </row>
    <row r="1077" spans="1:13" x14ac:dyDescent="0.2">
      <c r="A1077" s="14" t="s">
        <v>2986</v>
      </c>
      <c r="B1077" s="14" t="s">
        <v>18</v>
      </c>
      <c r="C1077" s="14">
        <v>2025</v>
      </c>
      <c r="D1077" s="14" t="str">
        <f t="array" ref="D1077">_xlfn.SWITCH(E1077,"Bagor","35.18.14","Sukomoro",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7" s="13" t="s">
        <v>57</v>
      </c>
      <c r="F1077" s="25" t="s">
        <v>1849</v>
      </c>
      <c r="G1077" s="25" t="s">
        <v>1871</v>
      </c>
      <c r="H1077" s="13" t="s">
        <v>9</v>
      </c>
      <c r="I1077" s="14" t="s">
        <v>1872</v>
      </c>
      <c r="J1077" s="15">
        <f>50*25*12</f>
        <v>15000</v>
      </c>
      <c r="K1077" s="13" t="s">
        <v>700</v>
      </c>
      <c r="L1077" s="22">
        <v>150000000</v>
      </c>
      <c r="M1077" s="24"/>
    </row>
    <row r="1078" spans="1:13" x14ac:dyDescent="0.2">
      <c r="A1078" s="14" t="s">
        <v>2986</v>
      </c>
      <c r="B1078" s="14" t="s">
        <v>18</v>
      </c>
      <c r="C1078" s="14">
        <v>2025</v>
      </c>
      <c r="D1078" s="14" t="str">
        <f t="array" ref="D1078">_xlfn.SWITCH(E1078,"Bagor","35.18.14","Sukomoro",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078" s="13" t="s">
        <v>24</v>
      </c>
      <c r="F1078" s="25" t="s">
        <v>1873</v>
      </c>
      <c r="G1078" s="25" t="s">
        <v>1874</v>
      </c>
      <c r="H1078" s="13" t="s">
        <v>9</v>
      </c>
      <c r="I1078" s="14" t="s">
        <v>993</v>
      </c>
      <c r="J1078" s="15">
        <v>300</v>
      </c>
      <c r="K1078" s="13" t="s">
        <v>994</v>
      </c>
      <c r="L1078" s="22">
        <f>J1078*300000</f>
        <v>90000000</v>
      </c>
      <c r="M1078" s="24"/>
    </row>
    <row r="1079" spans="1:13" x14ac:dyDescent="0.2">
      <c r="A1079" s="14" t="s">
        <v>2986</v>
      </c>
      <c r="B1079" s="14" t="s">
        <v>18</v>
      </c>
      <c r="C1079" s="14">
        <v>2025</v>
      </c>
      <c r="D1079" s="14" t="str">
        <f t="array" ref="D1079">_xlfn.SWITCH(E1079,"Jatikalen","35.18.20","Kertosono", "35.18.08","Lengkong","35.18.19","Loceret","35.18.04","Tanjunganom","35.18.11","Wilangan","35.18.15")</f>
        <v>35.18.20</v>
      </c>
      <c r="E1079" s="13" t="s">
        <v>801</v>
      </c>
      <c r="F1079" s="25" t="s">
        <v>1875</v>
      </c>
      <c r="G1079" s="25" t="s">
        <v>1862</v>
      </c>
      <c r="H1079" s="13" t="s">
        <v>9</v>
      </c>
      <c r="I1079" s="14" t="s">
        <v>1862</v>
      </c>
      <c r="J1079" s="15">
        <f>15*25*12</f>
        <v>4500</v>
      </c>
      <c r="K1079" s="13" t="s">
        <v>1015</v>
      </c>
      <c r="L1079" s="22">
        <f>7500*J1079</f>
        <v>33750000</v>
      </c>
      <c r="M1079" s="24"/>
    </row>
    <row r="1080" spans="1:13" x14ac:dyDescent="0.2">
      <c r="A1080" s="14" t="s">
        <v>2986</v>
      </c>
      <c r="B1080" s="14" t="s">
        <v>18</v>
      </c>
      <c r="C1080" s="14">
        <v>2025</v>
      </c>
      <c r="D1080" s="14" t="str">
        <f t="array" ref="D1080">_xlfn.SWITCH(E1080,"Bagor","35.18.14","Sukomoro",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0" s="13" t="s">
        <v>18</v>
      </c>
      <c r="F1080" s="25" t="s">
        <v>1876</v>
      </c>
      <c r="G1080" s="25" t="s">
        <v>1877</v>
      </c>
      <c r="H1080" s="13" t="s">
        <v>9</v>
      </c>
      <c r="I1080" s="14" t="s">
        <v>1878</v>
      </c>
      <c r="J1080" s="15">
        <f>10*25*12</f>
        <v>3000</v>
      </c>
      <c r="K1080" s="13" t="s">
        <v>1186</v>
      </c>
      <c r="L1080" s="22">
        <v>45000000</v>
      </c>
      <c r="M1080" s="24"/>
    </row>
    <row r="1081" spans="1:13" ht="20" x14ac:dyDescent="0.2">
      <c r="A1081" s="14" t="s">
        <v>2986</v>
      </c>
      <c r="B1081" s="14" t="s">
        <v>18</v>
      </c>
      <c r="C1081" s="14">
        <v>2025</v>
      </c>
      <c r="D1081" s="14" t="str">
        <f t="array" ref="D1081">_xlfn.SWITCH(E1081,"Bagor","35.18.14","Sukomoro",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1" s="13" t="s">
        <v>18</v>
      </c>
      <c r="F1081" s="25" t="s">
        <v>1879</v>
      </c>
      <c r="G1081" s="25" t="s">
        <v>1572</v>
      </c>
      <c r="H1081" s="13" t="s">
        <v>9</v>
      </c>
      <c r="I1081" s="14" t="s">
        <v>1843</v>
      </c>
      <c r="J1081" s="15">
        <f>10*25*12</f>
        <v>3000</v>
      </c>
      <c r="K1081" s="13" t="s">
        <v>1015</v>
      </c>
      <c r="L1081" s="22">
        <v>20000000</v>
      </c>
      <c r="M1081" s="24"/>
    </row>
    <row r="1082" spans="1:13" x14ac:dyDescent="0.2">
      <c r="A1082" s="14" t="s">
        <v>2986</v>
      </c>
      <c r="B1082" s="14" t="s">
        <v>18</v>
      </c>
      <c r="C1082" s="14">
        <v>2025</v>
      </c>
      <c r="D1082" s="14" t="str">
        <f t="array" ref="D1082">_xlfn.SWITCH(E1082,"Bagor","35.18.14","Sukomoro",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82" s="13" t="s">
        <v>72</v>
      </c>
      <c r="F1082" s="25" t="s">
        <v>1123</v>
      </c>
      <c r="G1082" s="25" t="s">
        <v>1880</v>
      </c>
      <c r="H1082" s="13" t="s">
        <v>9</v>
      </c>
      <c r="I1082" s="14" t="s">
        <v>1071</v>
      </c>
      <c r="J1082" s="15">
        <f>10*25*12</f>
        <v>3000</v>
      </c>
      <c r="K1082" s="13" t="s">
        <v>700</v>
      </c>
      <c r="L1082" s="22">
        <v>75000000</v>
      </c>
      <c r="M1082" s="24"/>
    </row>
    <row r="1083" spans="1:13" x14ac:dyDescent="0.2">
      <c r="A1083" s="14" t="s">
        <v>2986</v>
      </c>
      <c r="B1083" s="14" t="s">
        <v>18</v>
      </c>
      <c r="C1083" s="14">
        <v>2025</v>
      </c>
      <c r="D1083" s="14" t="str">
        <f t="array" ref="D1083">_xlfn.SWITCH(E1083,"Bagor","35.18.14","Sukomoro",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3" s="13" t="s">
        <v>18</v>
      </c>
      <c r="F1083" s="25" t="s">
        <v>1881</v>
      </c>
      <c r="G1083" s="25" t="s">
        <v>1882</v>
      </c>
      <c r="H1083" s="13" t="s">
        <v>9</v>
      </c>
      <c r="I1083" s="14" t="s">
        <v>1841</v>
      </c>
      <c r="J1083" s="15">
        <f>10*26*12</f>
        <v>3120</v>
      </c>
      <c r="K1083" s="13" t="s">
        <v>1015</v>
      </c>
      <c r="L1083" s="22">
        <v>78000000</v>
      </c>
      <c r="M1083" s="24"/>
    </row>
    <row r="1084" spans="1:13" x14ac:dyDescent="0.2">
      <c r="A1084" s="14" t="s">
        <v>2986</v>
      </c>
      <c r="B1084" s="14" t="s">
        <v>18</v>
      </c>
      <c r="C1084" s="14">
        <v>2025</v>
      </c>
      <c r="D1084" s="14" t="str">
        <f t="array" ref="D1084">_xlfn.SWITCH(E1084,"Bagor","35.18.14","Sukomoro",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084" s="13" t="s">
        <v>50</v>
      </c>
      <c r="F1084" s="25" t="s">
        <v>1086</v>
      </c>
      <c r="G1084" s="25" t="s">
        <v>1883</v>
      </c>
      <c r="H1084" s="13" t="s">
        <v>9</v>
      </c>
      <c r="I1084" s="14" t="s">
        <v>1071</v>
      </c>
      <c r="J1084" s="15">
        <f>10*25*12</f>
        <v>3000</v>
      </c>
      <c r="K1084" s="13" t="s">
        <v>700</v>
      </c>
      <c r="L1084" s="22">
        <v>45000000</v>
      </c>
      <c r="M1084" s="24"/>
    </row>
    <row r="1085" spans="1:13" ht="20" x14ac:dyDescent="0.2">
      <c r="A1085" s="14" t="s">
        <v>2986</v>
      </c>
      <c r="B1085" s="14" t="s">
        <v>18</v>
      </c>
      <c r="C1085" s="14">
        <v>2025</v>
      </c>
      <c r="D1085" s="14" t="str">
        <f t="array" ref="D1085">_xlfn.SWITCH(E1085,"Bagor","35.18.14","Sukomoro",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5" s="13" t="s">
        <v>18</v>
      </c>
      <c r="F1085" s="25" t="s">
        <v>1884</v>
      </c>
      <c r="G1085" s="25" t="s">
        <v>1860</v>
      </c>
      <c r="H1085" s="13" t="s">
        <v>9</v>
      </c>
      <c r="I1085" s="14" t="s">
        <v>121</v>
      </c>
      <c r="J1085" s="15">
        <f>10*25*12</f>
        <v>3000</v>
      </c>
      <c r="K1085" s="13" t="s">
        <v>700</v>
      </c>
      <c r="L1085" s="22">
        <v>90000000</v>
      </c>
      <c r="M1085" s="24"/>
    </row>
    <row r="1086" spans="1:13" x14ac:dyDescent="0.2">
      <c r="A1086" s="14" t="s">
        <v>2986</v>
      </c>
      <c r="B1086" s="14" t="s">
        <v>18</v>
      </c>
      <c r="C1086" s="14">
        <v>2025</v>
      </c>
      <c r="D1086" s="14" t="str">
        <f t="array" ref="D1086">_xlfn.SWITCH(E1086,"Bagor","35.18.14","Sukomoro",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086" s="13" t="s">
        <v>119</v>
      </c>
      <c r="F1086" s="25" t="s">
        <v>1885</v>
      </c>
      <c r="G1086" s="25" t="s">
        <v>1886</v>
      </c>
      <c r="H1086" s="13" t="s">
        <v>9</v>
      </c>
      <c r="I1086" s="14" t="s">
        <v>1846</v>
      </c>
      <c r="J1086" s="15">
        <f>15*25*12</f>
        <v>4500</v>
      </c>
      <c r="K1086" s="13" t="s">
        <v>1186</v>
      </c>
      <c r="L1086" s="22">
        <v>31500000</v>
      </c>
      <c r="M1086" s="24"/>
    </row>
    <row r="1087" spans="1:13" x14ac:dyDescent="0.2">
      <c r="A1087" s="14" t="s">
        <v>2986</v>
      </c>
      <c r="B1087" s="14" t="s">
        <v>18</v>
      </c>
      <c r="C1087" s="14">
        <v>2025</v>
      </c>
      <c r="D1087" s="14" t="str">
        <f t="array" ref="D1087">_xlfn.SWITCH(E1087,"Jatikalen","35.18.20","Kertosono", "35.18.08","Lengkong","35.18.19","Loceret","35.18.04","Tanjunganom","35.18.11","Wilangan","35.18.15")</f>
        <v>35.18.04</v>
      </c>
      <c r="E1087" s="13" t="s">
        <v>15</v>
      </c>
      <c r="F1087" s="25" t="s">
        <v>1887</v>
      </c>
      <c r="G1087" s="25" t="s">
        <v>1888</v>
      </c>
      <c r="H1087" s="13" t="s">
        <v>9</v>
      </c>
      <c r="I1087" s="14" t="s">
        <v>1889</v>
      </c>
      <c r="J1087" s="15">
        <f>20*25*12</f>
        <v>6000</v>
      </c>
      <c r="K1087" s="13" t="s">
        <v>217</v>
      </c>
      <c r="L1087" s="22">
        <v>90000000</v>
      </c>
      <c r="M1087" s="24"/>
    </row>
    <row r="1088" spans="1:13" x14ac:dyDescent="0.2">
      <c r="A1088" s="14" t="s">
        <v>2986</v>
      </c>
      <c r="B1088" s="14" t="s">
        <v>18</v>
      </c>
      <c r="C1088" s="14">
        <v>2025</v>
      </c>
      <c r="D1088" s="14" t="str">
        <f t="array" ref="D1088">_xlfn.SWITCH(E1088,"Bagor","35.18.14","Sukomoro",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8" s="13" t="s">
        <v>18</v>
      </c>
      <c r="F1088" s="25" t="s">
        <v>1890</v>
      </c>
      <c r="G1088" s="25" t="s">
        <v>1891</v>
      </c>
      <c r="H1088" s="13" t="s">
        <v>9</v>
      </c>
      <c r="I1088" s="14" t="s">
        <v>121</v>
      </c>
      <c r="J1088" s="15">
        <f>15*12*20</f>
        <v>3600</v>
      </c>
      <c r="K1088" s="13" t="s">
        <v>700</v>
      </c>
      <c r="L1088" s="22">
        <v>72000000</v>
      </c>
      <c r="M1088" s="24"/>
    </row>
    <row r="1089" spans="1:13" x14ac:dyDescent="0.2">
      <c r="A1089" s="14" t="s">
        <v>2986</v>
      </c>
      <c r="B1089" s="14" t="s">
        <v>18</v>
      </c>
      <c r="C1089" s="14">
        <v>2025</v>
      </c>
      <c r="D1089" s="14" t="str">
        <f t="array" ref="D1089">_xlfn.SWITCH(E1089,"Jatikalen","35.18.20","Kertosono", "35.18.08","Lengkong","35.18.19","Loceret","35.18.04","Tanjunganom","35.18.11","Wilangan","35.18.15")</f>
        <v>35.18.11</v>
      </c>
      <c r="E1089" s="13" t="s">
        <v>27</v>
      </c>
      <c r="F1089" s="25" t="s">
        <v>1892</v>
      </c>
      <c r="G1089" s="25" t="s">
        <v>1893</v>
      </c>
      <c r="H1089" s="13" t="s">
        <v>9</v>
      </c>
      <c r="I1089" s="14" t="s">
        <v>1893</v>
      </c>
      <c r="J1089" s="15">
        <f>20*25*12</f>
        <v>6000</v>
      </c>
      <c r="K1089" s="13" t="s">
        <v>1894</v>
      </c>
      <c r="L1089" s="22">
        <v>18000000</v>
      </c>
      <c r="M1089" s="24"/>
    </row>
    <row r="1090" spans="1:13" x14ac:dyDescent="0.2">
      <c r="A1090" s="14" t="s">
        <v>2986</v>
      </c>
      <c r="B1090" s="14" t="s">
        <v>18</v>
      </c>
      <c r="C1090" s="14">
        <v>2025</v>
      </c>
      <c r="D1090" s="14" t="str">
        <f t="array" ref="D1090">_xlfn.SWITCH(E1090,"Bagor","35.18.14","Sukomoro",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90" s="13" t="s">
        <v>57</v>
      </c>
      <c r="F1090" s="25" t="s">
        <v>1895</v>
      </c>
      <c r="G1090" s="25" t="s">
        <v>1071</v>
      </c>
      <c r="H1090" s="13" t="s">
        <v>9</v>
      </c>
      <c r="I1090" s="14" t="s">
        <v>1071</v>
      </c>
      <c r="J1090" s="15">
        <f>20*25*12</f>
        <v>6000</v>
      </c>
      <c r="K1090" s="13" t="s">
        <v>700</v>
      </c>
      <c r="L1090" s="22">
        <v>36000000</v>
      </c>
      <c r="M1090" s="24"/>
    </row>
    <row r="1091" spans="1:13" x14ac:dyDescent="0.2">
      <c r="A1091" s="14" t="s">
        <v>2986</v>
      </c>
      <c r="B1091" s="14" t="s">
        <v>18</v>
      </c>
      <c r="C1091" s="14">
        <v>2025</v>
      </c>
      <c r="D1091" s="14" t="str">
        <f t="array" ref="D1091">_xlfn.SWITCH(E1091,"Jatikalen","35.18.20","Kertosono", "35.18.08","Lengkong","35.18.19","Loceret","35.18.04","Tanjunganom","35.18.11","Wilangan","35.18.15")</f>
        <v>35.18.04</v>
      </c>
      <c r="E1091" s="13" t="s">
        <v>15</v>
      </c>
      <c r="F1091" s="25" t="s">
        <v>1896</v>
      </c>
      <c r="G1091" s="25" t="s">
        <v>1897</v>
      </c>
      <c r="H1091" s="13" t="s">
        <v>9</v>
      </c>
      <c r="I1091" s="14" t="s">
        <v>993</v>
      </c>
      <c r="J1091" s="15">
        <f>4*25*12</f>
        <v>1200</v>
      </c>
      <c r="K1091" s="13" t="s">
        <v>994</v>
      </c>
      <c r="L1091" s="22">
        <f>J1091*175000</f>
        <v>210000000</v>
      </c>
      <c r="M1091" s="24"/>
    </row>
    <row r="1092" spans="1:13" x14ac:dyDescent="0.2">
      <c r="A1092" s="14" t="s">
        <v>2986</v>
      </c>
      <c r="B1092" s="14" t="s">
        <v>18</v>
      </c>
      <c r="C1092" s="14">
        <v>2025</v>
      </c>
      <c r="D1092" s="14" t="str">
        <f t="array" ref="D1092">_xlfn.SWITCH(E1092,"Bagor","35.18.14","Sukomoro",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2" s="13" t="str">
        <f>E1053</f>
        <v>Baron</v>
      </c>
      <c r="F1092" s="25" t="s">
        <v>1898</v>
      </c>
      <c r="G1092" s="25" t="s">
        <v>1893</v>
      </c>
      <c r="H1092" s="13" t="s">
        <v>9</v>
      </c>
      <c r="I1092" s="14" t="s">
        <v>1893</v>
      </c>
      <c r="J1092" s="15">
        <f>100*25*12</f>
        <v>30000</v>
      </c>
      <c r="K1092" s="13" t="s">
        <v>1894</v>
      </c>
      <c r="L1092" s="22">
        <v>60000000</v>
      </c>
      <c r="M1092" s="24"/>
    </row>
    <row r="1093" spans="1:13" x14ac:dyDescent="0.2">
      <c r="A1093" s="14" t="s">
        <v>2986</v>
      </c>
      <c r="B1093" s="14" t="s">
        <v>18</v>
      </c>
      <c r="C1093" s="14">
        <v>2025</v>
      </c>
      <c r="D1093" s="14" t="str">
        <f t="array" ref="D1093">_xlfn.SWITCH(E1093,"Bagor","35.18.14","Sukomoro",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3" s="13" t="str">
        <f t="shared" ref="E1093:E1102" si="0">E1092</f>
        <v>Baron</v>
      </c>
      <c r="F1093" s="25" t="s">
        <v>1899</v>
      </c>
      <c r="G1093" s="25" t="s">
        <v>1893</v>
      </c>
      <c r="H1093" s="13" t="s">
        <v>9</v>
      </c>
      <c r="I1093" s="14" t="s">
        <v>1893</v>
      </c>
      <c r="J1093" s="15">
        <f>150*25*12</f>
        <v>45000</v>
      </c>
      <c r="K1093" s="13" t="s">
        <v>1894</v>
      </c>
      <c r="L1093" s="22">
        <v>45000000</v>
      </c>
      <c r="M1093" s="24"/>
    </row>
    <row r="1094" spans="1:13" x14ac:dyDescent="0.2">
      <c r="A1094" s="14" t="s">
        <v>2986</v>
      </c>
      <c r="B1094" s="14" t="s">
        <v>18</v>
      </c>
      <c r="C1094" s="14">
        <v>2025</v>
      </c>
      <c r="D1094" s="14" t="str">
        <f t="array" ref="D1094">_xlfn.SWITCH(E1094,"Bagor","35.18.14","Sukomoro",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4" s="13" t="str">
        <f t="shared" si="0"/>
        <v>Baron</v>
      </c>
      <c r="F1094" s="25" t="s">
        <v>1899</v>
      </c>
      <c r="G1094" s="25" t="s">
        <v>823</v>
      </c>
      <c r="H1094" s="13" t="s">
        <v>9</v>
      </c>
      <c r="I1094" s="14" t="s">
        <v>823</v>
      </c>
      <c r="J1094" s="15">
        <f>18*25*12</f>
        <v>5400</v>
      </c>
      <c r="K1094" s="13" t="s">
        <v>700</v>
      </c>
      <c r="L1094" s="22">
        <v>43200000</v>
      </c>
      <c r="M1094" s="24"/>
    </row>
    <row r="1095" spans="1:13" x14ac:dyDescent="0.2">
      <c r="A1095" s="14" t="s">
        <v>2986</v>
      </c>
      <c r="B1095" s="14" t="s">
        <v>18</v>
      </c>
      <c r="C1095" s="14">
        <v>2025</v>
      </c>
      <c r="D1095" s="14" t="str">
        <f t="array" ref="D1095">_xlfn.SWITCH(E1095,"Bagor","35.18.14","Sukomoro",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5" s="13" t="str">
        <f t="shared" si="0"/>
        <v>Baron</v>
      </c>
      <c r="F1095" s="25" t="s">
        <v>1899</v>
      </c>
      <c r="G1095" s="25" t="s">
        <v>1900</v>
      </c>
      <c r="H1095" s="13" t="s">
        <v>9</v>
      </c>
      <c r="I1095" s="14" t="s">
        <v>121</v>
      </c>
      <c r="J1095" s="15">
        <f>50*12*25</f>
        <v>15000</v>
      </c>
      <c r="K1095" s="13" t="s">
        <v>700</v>
      </c>
      <c r="L1095" s="22">
        <v>135000000</v>
      </c>
      <c r="M1095" s="24"/>
    </row>
    <row r="1096" spans="1:13" x14ac:dyDescent="0.2">
      <c r="A1096" s="14" t="s">
        <v>2986</v>
      </c>
      <c r="B1096" s="14" t="s">
        <v>18</v>
      </c>
      <c r="C1096" s="14">
        <v>2025</v>
      </c>
      <c r="D1096" s="14" t="str">
        <f t="array" ref="D1096">_xlfn.SWITCH(E1096,"Bagor","35.18.14","Sukomoro",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6" s="13" t="str">
        <f t="shared" si="0"/>
        <v>Baron</v>
      </c>
      <c r="F1096" s="25" t="s">
        <v>1899</v>
      </c>
      <c r="G1096" s="25" t="s">
        <v>823</v>
      </c>
      <c r="H1096" s="13" t="s">
        <v>9</v>
      </c>
      <c r="I1096" s="14" t="s">
        <v>823</v>
      </c>
      <c r="J1096" s="15">
        <f>15*12*25</f>
        <v>4500</v>
      </c>
      <c r="K1096" s="13" t="s">
        <v>700</v>
      </c>
      <c r="L1096" s="22">
        <f>8000*J1096</f>
        <v>36000000</v>
      </c>
      <c r="M1096" s="24"/>
    </row>
    <row r="1097" spans="1:13" x14ac:dyDescent="0.2">
      <c r="A1097" s="14" t="s">
        <v>2986</v>
      </c>
      <c r="B1097" s="14" t="s">
        <v>18</v>
      </c>
      <c r="C1097" s="14">
        <v>2025</v>
      </c>
      <c r="D1097" s="14" t="str">
        <f t="array" ref="D1097">_xlfn.SWITCH(E1097,"Bagor","35.18.14","Sukomoro",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7" s="13" t="str">
        <f t="shared" si="0"/>
        <v>Baron</v>
      </c>
      <c r="F1097" s="25" t="s">
        <v>1899</v>
      </c>
      <c r="G1097" s="25" t="s">
        <v>823</v>
      </c>
      <c r="H1097" s="13" t="s">
        <v>9</v>
      </c>
      <c r="I1097" s="14" t="s">
        <v>823</v>
      </c>
      <c r="J1097" s="15">
        <f>15*12*25</f>
        <v>4500</v>
      </c>
      <c r="K1097" s="13" t="s">
        <v>700</v>
      </c>
      <c r="L1097" s="22">
        <v>38250000</v>
      </c>
      <c r="M1097" s="24"/>
    </row>
    <row r="1098" spans="1:13" x14ac:dyDescent="0.2">
      <c r="A1098" s="14" t="s">
        <v>2986</v>
      </c>
      <c r="B1098" s="14" t="s">
        <v>18</v>
      </c>
      <c r="C1098" s="14">
        <v>2025</v>
      </c>
      <c r="D1098" s="14" t="str">
        <f t="array" ref="D1098">_xlfn.SWITCH(E1098,"Bagor","35.18.14","Sukomoro",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8" s="13" t="str">
        <f t="shared" si="0"/>
        <v>Baron</v>
      </c>
      <c r="F1098" s="25" t="s">
        <v>1899</v>
      </c>
      <c r="G1098" s="25" t="s">
        <v>1434</v>
      </c>
      <c r="H1098" s="13" t="s">
        <v>9</v>
      </c>
      <c r="I1098" s="14" t="s">
        <v>1658</v>
      </c>
      <c r="J1098" s="15">
        <f>250*12*25</f>
        <v>75000</v>
      </c>
      <c r="K1098" s="13" t="s">
        <v>1015</v>
      </c>
      <c r="L1098" s="22">
        <v>112500000</v>
      </c>
      <c r="M1098" s="24"/>
    </row>
    <row r="1099" spans="1:13" x14ac:dyDescent="0.2">
      <c r="A1099" s="14" t="s">
        <v>2986</v>
      </c>
      <c r="B1099" s="14" t="s">
        <v>18</v>
      </c>
      <c r="C1099" s="14">
        <v>2025</v>
      </c>
      <c r="D1099" s="14" t="str">
        <f t="array" ref="D1099">_xlfn.SWITCH(E1099,"Bagor","35.18.14","Sukomoro",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9" s="13" t="str">
        <f t="shared" si="0"/>
        <v>Baron</v>
      </c>
      <c r="F1099" s="25" t="s">
        <v>1899</v>
      </c>
      <c r="G1099" s="25" t="s">
        <v>1893</v>
      </c>
      <c r="H1099" s="13" t="s">
        <v>9</v>
      </c>
      <c r="I1099" s="14" t="s">
        <v>1893</v>
      </c>
      <c r="J1099" s="15">
        <f>200*12*25</f>
        <v>60000</v>
      </c>
      <c r="K1099" s="13" t="s">
        <v>1015</v>
      </c>
      <c r="L1099" s="22">
        <v>90000000</v>
      </c>
      <c r="M1099" s="24"/>
    </row>
    <row r="1100" spans="1:13" x14ac:dyDescent="0.2">
      <c r="A1100" s="14" t="s">
        <v>2986</v>
      </c>
      <c r="B1100" s="14" t="s">
        <v>18</v>
      </c>
      <c r="C1100" s="14">
        <v>2025</v>
      </c>
      <c r="D1100" s="14" t="str">
        <f t="array" ref="D1100">_xlfn.SWITCH(E1100,"Bagor","35.18.14","Sukomoro",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0" s="13" t="str">
        <f t="shared" si="0"/>
        <v>Baron</v>
      </c>
      <c r="F1100" s="25" t="s">
        <v>1899</v>
      </c>
      <c r="G1100" s="25" t="s">
        <v>823</v>
      </c>
      <c r="H1100" s="13" t="s">
        <v>9</v>
      </c>
      <c r="I1100" s="14" t="s">
        <v>823</v>
      </c>
      <c r="J1100" s="15">
        <f>20*12*25</f>
        <v>6000</v>
      </c>
      <c r="K1100" s="13" t="s">
        <v>700</v>
      </c>
      <c r="L1100" s="22">
        <v>48000000</v>
      </c>
      <c r="M1100" s="24"/>
    </row>
    <row r="1101" spans="1:13" x14ac:dyDescent="0.2">
      <c r="A1101" s="14" t="s">
        <v>2986</v>
      </c>
      <c r="B1101" s="14" t="s">
        <v>18</v>
      </c>
      <c r="C1101" s="14">
        <v>2025</v>
      </c>
      <c r="D1101" s="14" t="str">
        <f t="array" ref="D1101">_xlfn.SWITCH(E1101,"Bagor","35.18.14","Sukomoro",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1" s="13" t="str">
        <f t="shared" si="0"/>
        <v>Baron</v>
      </c>
      <c r="F1101" s="25" t="s">
        <v>1899</v>
      </c>
      <c r="G1101" s="25" t="s">
        <v>1846</v>
      </c>
      <c r="H1101" s="13" t="s">
        <v>9</v>
      </c>
      <c r="I1101" s="14" t="s">
        <v>1846</v>
      </c>
      <c r="J1101" s="15">
        <f>20*12*25</f>
        <v>6000</v>
      </c>
      <c r="K1101" s="13" t="s">
        <v>1186</v>
      </c>
      <c r="L1101" s="22">
        <v>90000000</v>
      </c>
      <c r="M1101" s="24"/>
    </row>
    <row r="1102" spans="1:13" x14ac:dyDescent="0.2">
      <c r="A1102" s="14" t="s">
        <v>2986</v>
      </c>
      <c r="B1102" s="14" t="s">
        <v>18</v>
      </c>
      <c r="C1102" s="14">
        <v>2025</v>
      </c>
      <c r="D1102" s="14" t="str">
        <f t="array" ref="D1102">_xlfn.SWITCH(E1102,"Bagor","35.18.14","Sukomoro",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2" s="13" t="str">
        <f t="shared" si="0"/>
        <v>Baron</v>
      </c>
      <c r="F1102" s="25" t="s">
        <v>1899</v>
      </c>
      <c r="G1102" s="25" t="s">
        <v>1901</v>
      </c>
      <c r="H1102" s="13" t="s">
        <v>9</v>
      </c>
      <c r="I1102" s="14" t="s">
        <v>121</v>
      </c>
      <c r="J1102" s="15">
        <f>50*12*25</f>
        <v>15000</v>
      </c>
      <c r="K1102" s="13" t="s">
        <v>1015</v>
      </c>
      <c r="L1102" s="22">
        <v>30000000</v>
      </c>
      <c r="M1102" s="24"/>
    </row>
    <row r="1103" spans="1:13" x14ac:dyDescent="0.2">
      <c r="A1103" s="14" t="s">
        <v>2986</v>
      </c>
      <c r="B1103" s="14" t="s">
        <v>18</v>
      </c>
      <c r="C1103" s="14">
        <v>2025</v>
      </c>
      <c r="D1103" s="14" t="str">
        <f t="array" ref="D1103">_xlfn.SWITCH(E1103,"Bagor","35.18.14","Sukomoro",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3" s="13" t="s">
        <v>1902</v>
      </c>
      <c r="F1103" s="25" t="s">
        <v>1902</v>
      </c>
      <c r="G1103" s="25" t="s">
        <v>567</v>
      </c>
      <c r="H1103" s="13" t="s">
        <v>9</v>
      </c>
      <c r="I1103" s="14" t="s">
        <v>1903</v>
      </c>
      <c r="J1103" s="15">
        <f>15*12*25</f>
        <v>4500</v>
      </c>
      <c r="K1103" s="13" t="s">
        <v>1015</v>
      </c>
      <c r="L1103" s="22">
        <v>112500000</v>
      </c>
      <c r="M1103" s="24"/>
    </row>
    <row r="1104" spans="1:13" x14ac:dyDescent="0.2">
      <c r="A1104" s="14" t="s">
        <v>2986</v>
      </c>
      <c r="B1104" s="14" t="s">
        <v>18</v>
      </c>
      <c r="C1104" s="14">
        <v>2025</v>
      </c>
      <c r="D1104" s="14" t="str">
        <f t="array" ref="D1104">_xlfn.SWITCH(E1104,"Bagor","35.18.14","Sukomoro",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4" s="13" t="s">
        <v>1902</v>
      </c>
      <c r="F1104" s="25" t="s">
        <v>1902</v>
      </c>
      <c r="G1104" s="25" t="s">
        <v>567</v>
      </c>
      <c r="H1104" s="13" t="s">
        <v>9</v>
      </c>
      <c r="I1104" s="14" t="s">
        <v>1903</v>
      </c>
      <c r="J1104" s="15">
        <f>30*12*25</f>
        <v>9000</v>
      </c>
      <c r="K1104" s="13" t="s">
        <v>1015</v>
      </c>
      <c r="L1104" s="22">
        <v>225000000</v>
      </c>
      <c r="M1104" s="24"/>
    </row>
    <row r="1105" spans="1:67" x14ac:dyDescent="0.2">
      <c r="A1105" s="14" t="s">
        <v>2986</v>
      </c>
      <c r="B1105" s="14" t="s">
        <v>18</v>
      </c>
      <c r="C1105" s="14">
        <v>2025</v>
      </c>
      <c r="D1105" s="14" t="str">
        <f t="array" ref="D1105">_xlfn.SWITCH(E1105,"Bagor","35.18.14","Sukomoro",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5" s="13" t="s">
        <v>1902</v>
      </c>
      <c r="F1105" s="25" t="s">
        <v>1902</v>
      </c>
      <c r="G1105" s="25" t="s">
        <v>567</v>
      </c>
      <c r="H1105" s="13" t="s">
        <v>9</v>
      </c>
      <c r="I1105" s="14" t="s">
        <v>1903</v>
      </c>
      <c r="J1105" s="15">
        <f>12*12*25</f>
        <v>3600</v>
      </c>
      <c r="K1105" s="13" t="s">
        <v>1015</v>
      </c>
      <c r="L1105" s="22">
        <v>72000000</v>
      </c>
      <c r="M1105" s="24"/>
    </row>
    <row r="1106" spans="1:67" x14ac:dyDescent="0.2">
      <c r="A1106" s="14" t="s">
        <v>2986</v>
      </c>
      <c r="B1106" s="14" t="s">
        <v>18</v>
      </c>
      <c r="C1106" s="14">
        <v>2025</v>
      </c>
      <c r="D1106" s="14" t="str">
        <f t="array" ref="D1106">_xlfn.SWITCH(E1106,"Bagor","35.18.14","Sukomoro",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6" s="61" t="s">
        <v>50</v>
      </c>
      <c r="F1106" s="60" t="s">
        <v>1904</v>
      </c>
      <c r="G1106" s="60" t="s">
        <v>109</v>
      </c>
      <c r="H1106" s="13" t="s">
        <v>9</v>
      </c>
      <c r="I1106" s="63" t="s">
        <v>109</v>
      </c>
      <c r="J1106" s="62">
        <v>90000</v>
      </c>
      <c r="K1106" s="61" t="s">
        <v>953</v>
      </c>
      <c r="L1106" s="64">
        <v>70000000</v>
      </c>
    </row>
    <row r="1107" spans="1:67" x14ac:dyDescent="0.2">
      <c r="A1107" s="14" t="s">
        <v>2986</v>
      </c>
      <c r="B1107" s="14" t="s">
        <v>18</v>
      </c>
      <c r="C1107" s="14">
        <v>2025</v>
      </c>
      <c r="D1107" s="14" t="str">
        <f t="array" ref="D1107">_xlfn.SWITCH(E1107,"Bagor","35.18.14","Sukomoro",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7" s="61" t="s">
        <v>50</v>
      </c>
      <c r="F1107" s="60" t="s">
        <v>1905</v>
      </c>
      <c r="G1107" s="60" t="s">
        <v>109</v>
      </c>
      <c r="H1107" s="13" t="s">
        <v>9</v>
      </c>
      <c r="I1107" s="63" t="s">
        <v>109</v>
      </c>
      <c r="J1107" s="62">
        <v>75000</v>
      </c>
      <c r="K1107" s="61" t="s">
        <v>953</v>
      </c>
      <c r="L1107" s="64">
        <v>45000000</v>
      </c>
    </row>
    <row r="1108" spans="1:67" s="1" customFormat="1" ht="20" x14ac:dyDescent="0.2">
      <c r="A1108" s="14" t="s">
        <v>2986</v>
      </c>
      <c r="B1108" s="14" t="s">
        <v>18</v>
      </c>
      <c r="C1108" s="14">
        <v>2025</v>
      </c>
      <c r="D1108" s="14" t="str">
        <f t="array" ref="D1108">_xlfn.SWITCH(E1108,"Bagor","35.18.14","Sukomoro",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8" s="61" t="s">
        <v>50</v>
      </c>
      <c r="F1108" s="60" t="s">
        <v>1906</v>
      </c>
      <c r="G1108" s="60" t="s">
        <v>1316</v>
      </c>
      <c r="H1108" s="13" t="s">
        <v>9</v>
      </c>
      <c r="I1108" s="63" t="s">
        <v>1316</v>
      </c>
      <c r="J1108" s="62">
        <v>1000</v>
      </c>
      <c r="K1108" s="61" t="s">
        <v>1015</v>
      </c>
      <c r="L1108" s="64">
        <v>50000000</v>
      </c>
      <c r="N1108" s="2"/>
      <c r="O1108" s="3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</row>
    <row r="1109" spans="1:67" s="1" customFormat="1" ht="20" x14ac:dyDescent="0.2">
      <c r="A1109" s="14" t="s">
        <v>2986</v>
      </c>
      <c r="B1109" s="14" t="s">
        <v>18</v>
      </c>
      <c r="C1109" s="14">
        <v>2025</v>
      </c>
      <c r="D1109" s="14" t="str">
        <f t="array" ref="D1109">_xlfn.SWITCH(E1109,"Bagor","35.18.14","Sukomoro",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9" s="61" t="s">
        <v>50</v>
      </c>
      <c r="F1109" s="60" t="s">
        <v>1906</v>
      </c>
      <c r="G1109" s="60" t="s">
        <v>1907</v>
      </c>
      <c r="H1109" s="13" t="s">
        <v>9</v>
      </c>
      <c r="I1109" s="63" t="s">
        <v>1316</v>
      </c>
      <c r="J1109" s="62">
        <v>500</v>
      </c>
      <c r="K1109" s="61" t="s">
        <v>1015</v>
      </c>
      <c r="L1109" s="64">
        <v>25000000</v>
      </c>
      <c r="N1109" s="2"/>
      <c r="O1109" s="3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</row>
    <row r="1110" spans="1:67" s="1" customFormat="1" ht="20" x14ac:dyDescent="0.2">
      <c r="A1110" s="14" t="s">
        <v>2986</v>
      </c>
      <c r="B1110" s="14" t="s">
        <v>18</v>
      </c>
      <c r="C1110" s="14">
        <v>2025</v>
      </c>
      <c r="D1110" s="14" t="str">
        <f t="array" ref="D1110">_xlfn.SWITCH(E1110,"Bagor","35.18.14","Sukomoro",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0" s="61" t="s">
        <v>50</v>
      </c>
      <c r="F1110" s="60" t="s">
        <v>1908</v>
      </c>
      <c r="G1110" s="60" t="s">
        <v>823</v>
      </c>
      <c r="H1110" s="13" t="s">
        <v>9</v>
      </c>
      <c r="I1110" s="63" t="s">
        <v>823</v>
      </c>
      <c r="J1110" s="62">
        <v>6500</v>
      </c>
      <c r="K1110" s="61" t="s">
        <v>700</v>
      </c>
      <c r="L1110" s="64">
        <v>45000000</v>
      </c>
      <c r="N1110" s="2"/>
      <c r="O1110" s="3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</row>
    <row r="1111" spans="1:67" s="1" customFormat="1" ht="20" x14ac:dyDescent="0.2">
      <c r="A1111" s="14" t="s">
        <v>2986</v>
      </c>
      <c r="B1111" s="14" t="s">
        <v>18</v>
      </c>
      <c r="C1111" s="14">
        <v>2025</v>
      </c>
      <c r="D1111" s="14" t="str">
        <f t="array" ref="D1111">_xlfn.SWITCH(E1111,"Bagor","35.18.14","Sukomoro",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1" s="61" t="s">
        <v>50</v>
      </c>
      <c r="F1111" s="60" t="s">
        <v>1908</v>
      </c>
      <c r="G1111" s="60" t="s">
        <v>823</v>
      </c>
      <c r="H1111" s="13" t="s">
        <v>9</v>
      </c>
      <c r="I1111" s="63" t="s">
        <v>823</v>
      </c>
      <c r="J1111" s="62">
        <v>15000</v>
      </c>
      <c r="K1111" s="61" t="s">
        <v>700</v>
      </c>
      <c r="L1111" s="64">
        <v>120000000</v>
      </c>
      <c r="N1111" s="2"/>
      <c r="O1111" s="3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</row>
    <row r="1112" spans="1:67" s="1" customFormat="1" ht="20" x14ac:dyDescent="0.2">
      <c r="A1112" s="14" t="s">
        <v>2986</v>
      </c>
      <c r="B1112" s="14" t="s">
        <v>18</v>
      </c>
      <c r="C1112" s="14">
        <v>2025</v>
      </c>
      <c r="D1112" s="14" t="str">
        <f t="array" ref="D1112">_xlfn.SWITCH(E1112,"Bagor","35.18.14","Sukomoro",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2" s="61" t="s">
        <v>50</v>
      </c>
      <c r="F1112" s="60" t="s">
        <v>1909</v>
      </c>
      <c r="G1112" s="60" t="s">
        <v>823</v>
      </c>
      <c r="H1112" s="13" t="s">
        <v>9</v>
      </c>
      <c r="I1112" s="63" t="s">
        <v>823</v>
      </c>
      <c r="J1112" s="62">
        <v>3500</v>
      </c>
      <c r="K1112" s="61" t="s">
        <v>700</v>
      </c>
      <c r="L1112" s="64">
        <v>34000000</v>
      </c>
      <c r="N1112" s="2"/>
      <c r="O1112" s="3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</row>
    <row r="1113" spans="1:67" s="1" customFormat="1" ht="20" x14ac:dyDescent="0.2">
      <c r="A1113" s="14" t="s">
        <v>2986</v>
      </c>
      <c r="B1113" s="14" t="s">
        <v>18</v>
      </c>
      <c r="C1113" s="14">
        <v>2025</v>
      </c>
      <c r="D1113" s="14" t="str">
        <f t="array" ref="D1113">_xlfn.SWITCH(E1113,"Bagor","35.18.14","Sukomoro",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3" s="61" t="s">
        <v>50</v>
      </c>
      <c r="F1113" s="60" t="s">
        <v>1909</v>
      </c>
      <c r="G1113" s="60" t="s">
        <v>823</v>
      </c>
      <c r="H1113" s="13" t="s">
        <v>9</v>
      </c>
      <c r="I1113" s="63" t="s">
        <v>823</v>
      </c>
      <c r="J1113" s="62">
        <v>5500</v>
      </c>
      <c r="K1113" s="61" t="s">
        <v>700</v>
      </c>
      <c r="L1113" s="64">
        <v>55000000</v>
      </c>
      <c r="N1113" s="2"/>
      <c r="O1113" s="3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</row>
    <row r="1114" spans="1:67" s="1" customFormat="1" ht="20" x14ac:dyDescent="0.2">
      <c r="A1114" s="14" t="s">
        <v>2986</v>
      </c>
      <c r="B1114" s="14" t="s">
        <v>18</v>
      </c>
      <c r="C1114" s="14">
        <v>2025</v>
      </c>
      <c r="D1114" s="14" t="str">
        <f t="array" ref="D1114">_xlfn.SWITCH(E1114,"Bagor","35.18.14","Sukomoro",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4" s="61" t="s">
        <v>50</v>
      </c>
      <c r="F1114" s="60" t="s">
        <v>1910</v>
      </c>
      <c r="G1114" s="60" t="s">
        <v>823</v>
      </c>
      <c r="H1114" s="13" t="s">
        <v>9</v>
      </c>
      <c r="I1114" s="63" t="s">
        <v>823</v>
      </c>
      <c r="J1114" s="62">
        <v>7500</v>
      </c>
      <c r="K1114" s="61" t="s">
        <v>700</v>
      </c>
      <c r="L1114" s="64">
        <v>65000000</v>
      </c>
      <c r="N1114" s="2"/>
      <c r="O1114" s="3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</row>
    <row r="1115" spans="1:67" s="1" customFormat="1" ht="20" x14ac:dyDescent="0.2">
      <c r="A1115" s="14" t="s">
        <v>2986</v>
      </c>
      <c r="B1115" s="14" t="s">
        <v>18</v>
      </c>
      <c r="C1115" s="14">
        <v>2025</v>
      </c>
      <c r="D1115" s="14" t="str">
        <f t="array" ref="D1115">_xlfn.SWITCH(E1115,"Bagor","35.18.14","Sukomoro",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5" s="61" t="s">
        <v>50</v>
      </c>
      <c r="F1115" s="60" t="s">
        <v>1910</v>
      </c>
      <c r="G1115" s="60" t="s">
        <v>823</v>
      </c>
      <c r="H1115" s="13" t="s">
        <v>9</v>
      </c>
      <c r="I1115" s="63" t="s">
        <v>823</v>
      </c>
      <c r="J1115" s="62">
        <v>4500</v>
      </c>
      <c r="K1115" s="61" t="s">
        <v>700</v>
      </c>
      <c r="L1115" s="64">
        <v>50000000</v>
      </c>
      <c r="N1115" s="2"/>
      <c r="O1115" s="3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</row>
    <row r="1116" spans="1:67" s="1" customFormat="1" ht="20" x14ac:dyDescent="0.2">
      <c r="A1116" s="14" t="s">
        <v>2986</v>
      </c>
      <c r="B1116" s="14" t="s">
        <v>18</v>
      </c>
      <c r="C1116" s="14">
        <v>2025</v>
      </c>
      <c r="D1116" s="14" t="str">
        <f t="array" ref="D1116">_xlfn.SWITCH(E1116,"Bagor","35.18.14","Sukomoro",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6" s="61" t="s">
        <v>50</v>
      </c>
      <c r="F1116" s="60" t="s">
        <v>1910</v>
      </c>
      <c r="G1116" s="60" t="s">
        <v>823</v>
      </c>
      <c r="H1116" s="13" t="s">
        <v>9</v>
      </c>
      <c r="I1116" s="63" t="s">
        <v>823</v>
      </c>
      <c r="J1116" s="62">
        <v>10000</v>
      </c>
      <c r="K1116" s="61" t="s">
        <v>700</v>
      </c>
      <c r="L1116" s="64">
        <v>80000000</v>
      </c>
      <c r="N1116" s="2"/>
      <c r="O1116" s="3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</row>
    <row r="1117" spans="1:67" s="1" customFormat="1" ht="20" x14ac:dyDescent="0.2">
      <c r="A1117" s="14" t="s">
        <v>2986</v>
      </c>
      <c r="B1117" s="14" t="s">
        <v>18</v>
      </c>
      <c r="C1117" s="14">
        <v>2025</v>
      </c>
      <c r="D1117" s="14" t="str">
        <f t="array" ref="D1117">_xlfn.SWITCH(E1117,"Bagor","35.18.14","Sukomoro",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7" s="61" t="s">
        <v>50</v>
      </c>
      <c r="F1117" s="60" t="s">
        <v>1910</v>
      </c>
      <c r="G1117" s="60" t="s">
        <v>1911</v>
      </c>
      <c r="H1117" s="13" t="s">
        <v>9</v>
      </c>
      <c r="I1117" s="63" t="s">
        <v>1912</v>
      </c>
      <c r="J1117" s="62">
        <v>5000</v>
      </c>
      <c r="K1117" s="61" t="s">
        <v>700</v>
      </c>
      <c r="L1117" s="64">
        <v>10000000</v>
      </c>
      <c r="N1117" s="2"/>
      <c r="O1117" s="3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</row>
    <row r="1118" spans="1:67" s="1" customFormat="1" ht="20" x14ac:dyDescent="0.2">
      <c r="A1118" s="14" t="s">
        <v>2986</v>
      </c>
      <c r="B1118" s="14" t="s">
        <v>18</v>
      </c>
      <c r="C1118" s="14">
        <v>2025</v>
      </c>
      <c r="D1118" s="14" t="str">
        <f t="array" ref="D1118">_xlfn.SWITCH(E1118,"Bagor","35.18.14","Sukomoro",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8" s="61" t="s">
        <v>50</v>
      </c>
      <c r="F1118" s="60" t="s">
        <v>1913</v>
      </c>
      <c r="G1118" s="60" t="s">
        <v>1914</v>
      </c>
      <c r="H1118" s="13" t="s">
        <v>9</v>
      </c>
      <c r="I1118" s="63" t="s">
        <v>1608</v>
      </c>
      <c r="J1118" s="62">
        <v>15000</v>
      </c>
      <c r="K1118" s="61" t="s">
        <v>700</v>
      </c>
      <c r="L1118" s="64">
        <v>75000000</v>
      </c>
      <c r="N1118" s="2"/>
      <c r="O1118" s="3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</row>
    <row r="1119" spans="1:67" s="1" customFormat="1" ht="20" x14ac:dyDescent="0.2">
      <c r="A1119" s="14" t="s">
        <v>2986</v>
      </c>
      <c r="B1119" s="14" t="s">
        <v>18</v>
      </c>
      <c r="C1119" s="14">
        <v>2025</v>
      </c>
      <c r="D1119" s="14" t="str">
        <f t="array" ref="D1119">_xlfn.SWITCH(E1119,"Bagor","35.18.14","Sukomoro",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9" s="61" t="s">
        <v>50</v>
      </c>
      <c r="F1119" s="60" t="s">
        <v>1915</v>
      </c>
      <c r="G1119" s="60" t="s">
        <v>1703</v>
      </c>
      <c r="H1119" s="13" t="s">
        <v>9</v>
      </c>
      <c r="I1119" s="63" t="s">
        <v>1703</v>
      </c>
      <c r="J1119" s="62">
        <v>10000</v>
      </c>
      <c r="K1119" s="61" t="s">
        <v>700</v>
      </c>
      <c r="L1119" s="64">
        <v>65000000</v>
      </c>
      <c r="N1119" s="2"/>
      <c r="O1119" s="3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</row>
    <row r="1120" spans="1:67" s="1" customFormat="1" ht="20" x14ac:dyDescent="0.2">
      <c r="A1120" s="14" t="s">
        <v>2986</v>
      </c>
      <c r="B1120" s="14" t="s">
        <v>18</v>
      </c>
      <c r="C1120" s="14">
        <v>2025</v>
      </c>
      <c r="D1120" s="14" t="str">
        <f t="array" ref="D1120">_xlfn.SWITCH(E1120,"Bagor","35.18.14","Sukomoro",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0" s="61" t="s">
        <v>50</v>
      </c>
      <c r="F1120" s="60" t="s">
        <v>1916</v>
      </c>
      <c r="G1120" s="60" t="s">
        <v>166</v>
      </c>
      <c r="H1120" s="13" t="s">
        <v>9</v>
      </c>
      <c r="I1120" s="63" t="s">
        <v>166</v>
      </c>
      <c r="J1120" s="62">
        <v>8000</v>
      </c>
      <c r="K1120" s="61" t="s">
        <v>1312</v>
      </c>
      <c r="L1120" s="64">
        <v>20000000</v>
      </c>
      <c r="N1120" s="2"/>
      <c r="O1120" s="3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</row>
    <row r="1121" spans="1:67" s="1" customFormat="1" ht="20" x14ac:dyDescent="0.2">
      <c r="A1121" s="14" t="s">
        <v>2986</v>
      </c>
      <c r="B1121" s="14" t="s">
        <v>18</v>
      </c>
      <c r="C1121" s="14">
        <v>2025</v>
      </c>
      <c r="D1121" s="14" t="str">
        <f t="array" ref="D1121">_xlfn.SWITCH(E1121,"Bagor","35.18.14","Sukomoro",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1" s="61" t="s">
        <v>50</v>
      </c>
      <c r="F1121" s="60" t="s">
        <v>1917</v>
      </c>
      <c r="G1121" s="60" t="s">
        <v>166</v>
      </c>
      <c r="H1121" s="13" t="s">
        <v>9</v>
      </c>
      <c r="I1121" s="63" t="s">
        <v>166</v>
      </c>
      <c r="J1121" s="62">
        <v>5000</v>
      </c>
      <c r="K1121" s="61" t="s">
        <v>1312</v>
      </c>
      <c r="L1121" s="64">
        <v>39000000</v>
      </c>
      <c r="N1121" s="2"/>
      <c r="O1121" s="3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</row>
    <row r="1122" spans="1:67" s="1" customFormat="1" ht="20" x14ac:dyDescent="0.2">
      <c r="A1122" s="14" t="s">
        <v>2986</v>
      </c>
      <c r="B1122" s="14" t="s">
        <v>18</v>
      </c>
      <c r="C1122" s="14">
        <v>2025</v>
      </c>
      <c r="D1122" s="14" t="str">
        <f t="array" ref="D1122">_xlfn.SWITCH(E1122,"Bagor","35.18.14","Sukomoro",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2" s="61" t="s">
        <v>50</v>
      </c>
      <c r="F1122" s="60" t="s">
        <v>1918</v>
      </c>
      <c r="G1122" s="60" t="s">
        <v>166</v>
      </c>
      <c r="H1122" s="13" t="s">
        <v>9</v>
      </c>
      <c r="I1122" s="63" t="s">
        <v>166</v>
      </c>
      <c r="J1122" s="62">
        <v>6500</v>
      </c>
      <c r="K1122" s="61" t="s">
        <v>1312</v>
      </c>
      <c r="L1122" s="64">
        <v>32100000</v>
      </c>
      <c r="N1122" s="2"/>
      <c r="O1122" s="3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</row>
    <row r="1123" spans="1:67" s="1" customFormat="1" x14ac:dyDescent="0.2">
      <c r="A1123" s="14" t="s">
        <v>2986</v>
      </c>
      <c r="B1123" s="14" t="s">
        <v>18</v>
      </c>
      <c r="C1123" s="14">
        <v>2025</v>
      </c>
      <c r="D1123" s="14" t="str">
        <f t="array" ref="D1123">_xlfn.SWITCH(E1123,"Jatikalen","35.18.20","Kertosono", "35.18.08","Lengkong","35.18.19","Loceret","35.18.04","Tanjunganom","35.18.11","Wilangan","35.18.15")</f>
        <v>35.18.04</v>
      </c>
      <c r="E1123" s="61" t="s">
        <v>15</v>
      </c>
      <c r="F1123" s="60" t="s">
        <v>1919</v>
      </c>
      <c r="G1123" s="60" t="s">
        <v>166</v>
      </c>
      <c r="H1123" s="13" t="s">
        <v>9</v>
      </c>
      <c r="I1123" s="63" t="s">
        <v>166</v>
      </c>
      <c r="J1123" s="62">
        <v>7400</v>
      </c>
      <c r="K1123" s="61" t="s">
        <v>1312</v>
      </c>
      <c r="L1123" s="64">
        <v>23400000</v>
      </c>
      <c r="N1123" s="2"/>
      <c r="O1123" s="3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</row>
    <row r="1124" spans="1:67" s="1" customFormat="1" x14ac:dyDescent="0.2">
      <c r="A1124" s="14" t="s">
        <v>2986</v>
      </c>
      <c r="B1124" s="14" t="s">
        <v>18</v>
      </c>
      <c r="C1124" s="14">
        <v>2025</v>
      </c>
      <c r="D1124" s="14" t="str">
        <f t="array" ref="D1124">_xlfn.SWITCH(E1124,"Jatikalen","35.18.20","Kertosono", "35.18.08","Lengkong","35.18.19","Loceret","35.18.04","Tanjunganom","35.18.11","Wilangan","35.18.15")</f>
        <v>35.18.04</v>
      </c>
      <c r="E1124" s="61" t="s">
        <v>15</v>
      </c>
      <c r="F1124" s="60" t="s">
        <v>1449</v>
      </c>
      <c r="G1124" s="60" t="s">
        <v>1893</v>
      </c>
      <c r="H1124" s="13" t="s">
        <v>9</v>
      </c>
      <c r="I1124" s="63" t="s">
        <v>1893</v>
      </c>
      <c r="J1124" s="62">
        <v>2500</v>
      </c>
      <c r="K1124" s="61" t="s">
        <v>700</v>
      </c>
      <c r="L1124" s="64">
        <f>J1124*7000</f>
        <v>17500000</v>
      </c>
      <c r="N1124" s="2"/>
      <c r="O1124" s="3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</row>
    <row r="1125" spans="1:67" s="1" customFormat="1" x14ac:dyDescent="0.2">
      <c r="A1125" s="14" t="s">
        <v>2986</v>
      </c>
      <c r="B1125" s="14" t="s">
        <v>18</v>
      </c>
      <c r="C1125" s="14">
        <v>2025</v>
      </c>
      <c r="D1125" s="14" t="str">
        <f t="array" ref="D1125">_xlfn.SWITCH(E1125,"Jatikalen","35.18.20","Kertosono", "35.18.08","Lengkong","35.18.19","Loceret","35.18.04","Tanjunganom","35.18.11","Wilangan","35.18.15")</f>
        <v>35.18.04</v>
      </c>
      <c r="E1125" s="61" t="s">
        <v>15</v>
      </c>
      <c r="F1125" s="60" t="s">
        <v>1449</v>
      </c>
      <c r="G1125" s="60" t="s">
        <v>1893</v>
      </c>
      <c r="H1125" s="13" t="s">
        <v>9</v>
      </c>
      <c r="I1125" s="63" t="s">
        <v>1893</v>
      </c>
      <c r="J1125" s="62">
        <v>7500</v>
      </c>
      <c r="K1125" s="61" t="s">
        <v>700</v>
      </c>
      <c r="L1125" s="64">
        <f>J1125*5000</f>
        <v>37500000</v>
      </c>
      <c r="N1125" s="2"/>
      <c r="O1125" s="3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</row>
    <row r="1126" spans="1:67" s="1" customFormat="1" ht="20" x14ac:dyDescent="0.2">
      <c r="A1126" s="14" t="s">
        <v>2986</v>
      </c>
      <c r="B1126" s="14" t="s">
        <v>18</v>
      </c>
      <c r="C1126" s="14">
        <v>2025</v>
      </c>
      <c r="D1126" s="14" t="str">
        <f t="array" ref="D1126">_xlfn.SWITCH(E1126,"Jatikalen","35.18.20","Kertosono", "35.18.08","Lengkong","35.18.19","Loceret","35.18.04","Tanjunganom","35.18.11","Wilangan","35.18.15")</f>
        <v>35.18.04</v>
      </c>
      <c r="E1126" s="61" t="s">
        <v>15</v>
      </c>
      <c r="F1126" s="60" t="s">
        <v>1920</v>
      </c>
      <c r="G1126" s="60" t="s">
        <v>1921</v>
      </c>
      <c r="H1126" s="13" t="s">
        <v>9</v>
      </c>
      <c r="I1126" s="63" t="s">
        <v>1921</v>
      </c>
      <c r="J1126" s="62">
        <v>7000</v>
      </c>
      <c r="K1126" s="61" t="s">
        <v>700</v>
      </c>
      <c r="L1126" s="64">
        <f>J1126*6500</f>
        <v>45500000</v>
      </c>
      <c r="N1126" s="2"/>
      <c r="O1126" s="3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</row>
    <row r="1127" spans="1:67" s="1" customFormat="1" ht="20" x14ac:dyDescent="0.2">
      <c r="A1127" s="14" t="s">
        <v>2986</v>
      </c>
      <c r="B1127" s="14" t="s">
        <v>18</v>
      </c>
      <c r="C1127" s="14">
        <v>2025</v>
      </c>
      <c r="D1127" s="14" t="str">
        <f t="array" ref="D1127">_xlfn.SWITCH(E1127,"Jatikalen","35.18.20","Kertosono", "35.18.08","Lengkong","35.18.19","Loceret","35.18.04","Tanjunganom","35.18.11","Wilangan","35.18.15")</f>
        <v>35.18.04</v>
      </c>
      <c r="E1127" s="61" t="s">
        <v>15</v>
      </c>
      <c r="F1127" s="60" t="s">
        <v>1922</v>
      </c>
      <c r="G1127" s="60" t="s">
        <v>1923</v>
      </c>
      <c r="H1127" s="13" t="s">
        <v>9</v>
      </c>
      <c r="I1127" s="63" t="s">
        <v>1923</v>
      </c>
      <c r="J1127" s="62">
        <v>2000</v>
      </c>
      <c r="K1127" s="61" t="s">
        <v>953</v>
      </c>
      <c r="L1127" s="64">
        <f>J1127*5000</f>
        <v>10000000</v>
      </c>
      <c r="N1127" s="2"/>
      <c r="O1127" s="3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</row>
    <row r="1128" spans="1:67" s="1" customFormat="1" x14ac:dyDescent="0.2">
      <c r="A1128" s="14" t="s">
        <v>2986</v>
      </c>
      <c r="B1128" s="14" t="s">
        <v>18</v>
      </c>
      <c r="C1128" s="14">
        <v>2025</v>
      </c>
      <c r="D1128" s="14" t="str">
        <f t="array" ref="D1128">_xlfn.SWITCH(E1128,"Bagor","35.18.14","Sukomoro",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8" s="61" t="s">
        <v>50</v>
      </c>
      <c r="F1128" s="60" t="s">
        <v>868</v>
      </c>
      <c r="G1128" s="60" t="s">
        <v>166</v>
      </c>
      <c r="H1128" s="13" t="s">
        <v>9</v>
      </c>
      <c r="I1128" s="63" t="s">
        <v>166</v>
      </c>
      <c r="J1128" s="62">
        <v>5000</v>
      </c>
      <c r="K1128" s="61" t="s">
        <v>1312</v>
      </c>
      <c r="L1128" s="64">
        <v>23300000</v>
      </c>
      <c r="N1128" s="2"/>
      <c r="O1128" s="3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</row>
    <row r="1129" spans="1:67" s="1" customFormat="1" x14ac:dyDescent="0.2">
      <c r="A1129" s="14" t="s">
        <v>2986</v>
      </c>
      <c r="B1129" s="14" t="s">
        <v>18</v>
      </c>
      <c r="C1129" s="14">
        <v>2025</v>
      </c>
      <c r="D1129" s="14" t="str">
        <f t="array" ref="D1129">_xlfn.SWITCH(E1129,"Bagor","35.18.14","Sukomoro",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9" s="61" t="s">
        <v>50</v>
      </c>
      <c r="F1129" s="60" t="s">
        <v>868</v>
      </c>
      <c r="G1129" s="60" t="s">
        <v>166</v>
      </c>
      <c r="H1129" s="13" t="s">
        <v>9</v>
      </c>
      <c r="I1129" s="63" t="s">
        <v>166</v>
      </c>
      <c r="J1129" s="62">
        <v>7000</v>
      </c>
      <c r="K1129" s="61" t="s">
        <v>1312</v>
      </c>
      <c r="L1129" s="64">
        <v>125000000</v>
      </c>
      <c r="N1129" s="2"/>
      <c r="O1129" s="3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</row>
    <row r="1130" spans="1:67" s="1" customFormat="1" x14ac:dyDescent="0.2">
      <c r="A1130" s="14" t="s">
        <v>2986</v>
      </c>
      <c r="B1130" s="14" t="s">
        <v>18</v>
      </c>
      <c r="C1130" s="14">
        <v>2025</v>
      </c>
      <c r="D1130" s="14" t="str">
        <f t="array" ref="D1130">_xlfn.SWITCH(E1130,"Bagor","35.18.14","Sukomoro",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0" s="61" t="s">
        <v>50</v>
      </c>
      <c r="F1130" s="60" t="s">
        <v>868</v>
      </c>
      <c r="G1130" s="60" t="s">
        <v>109</v>
      </c>
      <c r="H1130" s="13" t="s">
        <v>9</v>
      </c>
      <c r="I1130" s="63" t="s">
        <v>109</v>
      </c>
      <c r="J1130" s="62">
        <v>20000</v>
      </c>
      <c r="K1130" s="61" t="s">
        <v>953</v>
      </c>
      <c r="L1130" s="64">
        <v>23000000</v>
      </c>
      <c r="N1130" s="2"/>
      <c r="O1130" s="3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</row>
    <row r="1131" spans="1:67" s="1" customFormat="1" x14ac:dyDescent="0.2">
      <c r="A1131" s="14" t="s">
        <v>2986</v>
      </c>
      <c r="B1131" s="14" t="s">
        <v>18</v>
      </c>
      <c r="C1131" s="14">
        <v>2025</v>
      </c>
      <c r="D1131" s="14" t="str">
        <f t="array" ref="D1131">_xlfn.SWITCH(E1131,"Bagor","35.18.14","Sukomoro",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1" s="61" t="s">
        <v>50</v>
      </c>
      <c r="F1131" s="60" t="s">
        <v>868</v>
      </c>
      <c r="G1131" s="60" t="s">
        <v>109</v>
      </c>
      <c r="H1131" s="13" t="s">
        <v>9</v>
      </c>
      <c r="I1131" s="63" t="s">
        <v>109</v>
      </c>
      <c r="J1131" s="62">
        <v>45000</v>
      </c>
      <c r="K1131" s="61" t="s">
        <v>953</v>
      </c>
      <c r="L1131" s="64">
        <v>34500000</v>
      </c>
      <c r="N1131" s="2"/>
      <c r="O1131" s="3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</row>
    <row r="1132" spans="1:67" s="1" customFormat="1" x14ac:dyDescent="0.2">
      <c r="A1132" s="14" t="s">
        <v>2986</v>
      </c>
      <c r="B1132" s="14" t="s">
        <v>18</v>
      </c>
      <c r="C1132" s="14">
        <v>2025</v>
      </c>
      <c r="D1132" s="14" t="str">
        <f t="array" ref="D1132">_xlfn.SWITCH(E1132,"Jatikalen","35.18.20","Kertosono", "35.18.08","Lengkong","35.18.19","Loceret","35.18.04","Tanjunganom","35.18.11","Wilangan","35.18.15")</f>
        <v>35.18.11</v>
      </c>
      <c r="E1132" s="61" t="s">
        <v>27</v>
      </c>
      <c r="F1132" s="60" t="s">
        <v>1924</v>
      </c>
      <c r="G1132" s="60" t="s">
        <v>1925</v>
      </c>
      <c r="H1132" s="13" t="s">
        <v>9</v>
      </c>
      <c r="I1132" s="63" t="s">
        <v>1830</v>
      </c>
      <c r="J1132" s="62">
        <v>750</v>
      </c>
      <c r="K1132" s="61" t="s">
        <v>953</v>
      </c>
      <c r="L1132" s="64">
        <f>J1132*50000</f>
        <v>37500000</v>
      </c>
      <c r="N1132" s="2"/>
      <c r="O1132" s="3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</row>
    <row r="1133" spans="1:67" s="1" customFormat="1" x14ac:dyDescent="0.2">
      <c r="A1133" s="14" t="s">
        <v>2986</v>
      </c>
      <c r="B1133" s="14" t="s">
        <v>18</v>
      </c>
      <c r="C1133" s="14">
        <v>2025</v>
      </c>
      <c r="D1133" s="14" t="str">
        <f t="array" ref="D1133">_xlfn.SWITCH(E1133,"Jatikalen","35.18.20","Kertosono", "35.18.08","Lengkong","35.18.19","Loceret","35.18.04","Tanjunganom","35.18.11","Wilangan","35.18.15")</f>
        <v>35.18.11</v>
      </c>
      <c r="E1133" s="61" t="s">
        <v>27</v>
      </c>
      <c r="F1133" s="60" t="s">
        <v>1924</v>
      </c>
      <c r="G1133" s="60" t="s">
        <v>1925</v>
      </c>
      <c r="H1133" s="13" t="s">
        <v>9</v>
      </c>
      <c r="I1133" s="63" t="s">
        <v>1830</v>
      </c>
      <c r="J1133" s="62">
        <v>800</v>
      </c>
      <c r="K1133" s="61" t="s">
        <v>953</v>
      </c>
      <c r="L1133" s="64">
        <f>J1133*50000</f>
        <v>40000000</v>
      </c>
      <c r="N1133" s="2"/>
      <c r="O1133" s="3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</row>
    <row r="1134" spans="1:67" s="1" customFormat="1" x14ac:dyDescent="0.2">
      <c r="A1134" s="14" t="s">
        <v>2986</v>
      </c>
      <c r="B1134" s="14" t="s">
        <v>18</v>
      </c>
      <c r="C1134" s="14">
        <v>2025</v>
      </c>
      <c r="D1134" s="14" t="str">
        <f t="array" ref="D1134">_xlfn.SWITCH(E1134,"Jatikalen","35.18.20","Kertosono", "35.18.08","Lengkong","35.18.19","Loceret","35.18.04","Tanjunganom","35.18.11","Wilangan","35.18.15")</f>
        <v>35.18.11</v>
      </c>
      <c r="E1134" s="61" t="s">
        <v>27</v>
      </c>
      <c r="F1134" s="60" t="s">
        <v>1924</v>
      </c>
      <c r="G1134" s="60" t="s">
        <v>1925</v>
      </c>
      <c r="H1134" s="13" t="s">
        <v>9</v>
      </c>
      <c r="I1134" s="63" t="s">
        <v>1830</v>
      </c>
      <c r="J1134" s="62">
        <v>2000</v>
      </c>
      <c r="K1134" s="61" t="s">
        <v>953</v>
      </c>
      <c r="L1134" s="64">
        <f>J1134*50000</f>
        <v>100000000</v>
      </c>
      <c r="N1134" s="2"/>
      <c r="O1134" s="3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</row>
    <row r="1135" spans="1:67" s="1" customFormat="1" x14ac:dyDescent="0.2">
      <c r="A1135" s="14" t="s">
        <v>2986</v>
      </c>
      <c r="B1135" s="14" t="s">
        <v>18</v>
      </c>
      <c r="C1135" s="14">
        <v>2025</v>
      </c>
      <c r="D1135" s="14" t="str">
        <f t="array" ref="D1135">_xlfn.SWITCH(E1135,"Jatikalen","35.18.20","Kertosono", "35.18.08","Lengkong","35.18.19","Loceret","35.18.04","Tanjunganom","35.18.11","Wilangan","35.18.15")</f>
        <v>35.18.11</v>
      </c>
      <c r="E1135" s="61" t="s">
        <v>27</v>
      </c>
      <c r="F1135" s="60" t="s">
        <v>1924</v>
      </c>
      <c r="G1135" s="60" t="s">
        <v>1925</v>
      </c>
      <c r="H1135" s="13" t="s">
        <v>9</v>
      </c>
      <c r="I1135" s="63" t="s">
        <v>1830</v>
      </c>
      <c r="J1135" s="62">
        <v>1200</v>
      </c>
      <c r="K1135" s="61" t="s">
        <v>953</v>
      </c>
      <c r="L1135" s="64">
        <f>J1135*50000</f>
        <v>60000000</v>
      </c>
      <c r="N1135" s="2"/>
      <c r="O1135" s="3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</row>
    <row r="1136" spans="1:67" s="1" customFormat="1" x14ac:dyDescent="0.2">
      <c r="A1136" s="14" t="s">
        <v>2986</v>
      </c>
      <c r="B1136" s="14" t="s">
        <v>18</v>
      </c>
      <c r="C1136" s="14">
        <v>2025</v>
      </c>
      <c r="D1136" s="14" t="str">
        <f t="array" ref="D1136">_xlfn.SWITCH(E1136,"Jatikalen","35.18.20","Kertosono", "35.18.08","Lengkong","35.18.19","Loceret","35.18.04","Tanjunganom","35.18.11","Wilangan","35.18.15")</f>
        <v>35.18.11</v>
      </c>
      <c r="E1136" s="61" t="s">
        <v>27</v>
      </c>
      <c r="F1136" s="60" t="s">
        <v>1924</v>
      </c>
      <c r="G1136" s="60" t="s">
        <v>1925</v>
      </c>
      <c r="H1136" s="13" t="s">
        <v>9</v>
      </c>
      <c r="I1136" s="63" t="s">
        <v>1830</v>
      </c>
      <c r="J1136" s="62">
        <v>950</v>
      </c>
      <c r="K1136" s="61" t="s">
        <v>953</v>
      </c>
      <c r="L1136" s="64">
        <f>J1136*50000</f>
        <v>47500000</v>
      </c>
      <c r="N1136" s="2"/>
      <c r="O1136" s="3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</row>
    <row r="1137" spans="1:67" s="1" customFormat="1" x14ac:dyDescent="0.2">
      <c r="A1137" s="14" t="s">
        <v>2986</v>
      </c>
      <c r="B1137" s="14" t="s">
        <v>18</v>
      </c>
      <c r="C1137" s="14">
        <v>2025</v>
      </c>
      <c r="D1137" s="14" t="str">
        <f t="array" ref="D1137">_xlfn.SWITCH(E1137,"Jatikalen","35.18.20","Kertosono", "35.18.08","Lengkong","35.18.19","Loceret","35.18.04","Tanjunganom","35.18.11","Wilangan","35.18.15")</f>
        <v>35.18.11</v>
      </c>
      <c r="E1137" s="61" t="s">
        <v>27</v>
      </c>
      <c r="F1137" s="60" t="s">
        <v>1924</v>
      </c>
      <c r="G1137" s="60" t="s">
        <v>1628</v>
      </c>
      <c r="H1137" s="13" t="s">
        <v>9</v>
      </c>
      <c r="I1137" s="63" t="s">
        <v>1628</v>
      </c>
      <c r="J1137" s="62">
        <v>800</v>
      </c>
      <c r="K1137" s="61" t="s">
        <v>1015</v>
      </c>
      <c r="L1137" s="64">
        <f>J1137*15000</f>
        <v>12000000</v>
      </c>
      <c r="N1137" s="2"/>
      <c r="O1137" s="3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</row>
    <row r="1138" spans="1:67" s="1" customFormat="1" x14ac:dyDescent="0.2">
      <c r="A1138" s="14" t="s">
        <v>2986</v>
      </c>
      <c r="B1138" s="14" t="s">
        <v>18</v>
      </c>
      <c r="C1138" s="14">
        <v>2025</v>
      </c>
      <c r="D1138" s="14" t="str">
        <f t="array" ref="D1138">_xlfn.SWITCH(E1138,"Jatikalen","35.18.20","Kertosono", "35.18.08","Lengkong","35.18.19","Loceret","35.18.04","Tanjunganom","35.18.11","Wilangan","35.18.15")</f>
        <v>35.18.11</v>
      </c>
      <c r="E1138" s="61" t="s">
        <v>27</v>
      </c>
      <c r="F1138" s="60" t="s">
        <v>1924</v>
      </c>
      <c r="G1138" s="60" t="s">
        <v>1628</v>
      </c>
      <c r="H1138" s="13" t="s">
        <v>9</v>
      </c>
      <c r="I1138" s="63" t="s">
        <v>1628</v>
      </c>
      <c r="J1138" s="62">
        <v>1500</v>
      </c>
      <c r="K1138" s="61" t="s">
        <v>1015</v>
      </c>
      <c r="L1138" s="64">
        <f>J1138*15000</f>
        <v>22500000</v>
      </c>
      <c r="N1138" s="2"/>
      <c r="O1138" s="3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</row>
    <row r="1139" spans="1:67" s="1" customFormat="1" x14ac:dyDescent="0.2">
      <c r="A1139" s="14" t="s">
        <v>2986</v>
      </c>
      <c r="B1139" s="14" t="s">
        <v>18</v>
      </c>
      <c r="C1139" s="14">
        <v>2025</v>
      </c>
      <c r="D1139" s="14" t="str">
        <f t="array" ref="D1139">_xlfn.SWITCH(E1139,"Jatikalen","35.18.20","Kertosono", "35.18.08","Lengkong","35.18.19","Loceret","35.18.04","Tanjunganom","35.18.11","Wilangan","35.18.15")</f>
        <v>35.18.11</v>
      </c>
      <c r="E1139" s="61" t="s">
        <v>27</v>
      </c>
      <c r="F1139" s="60" t="s">
        <v>1924</v>
      </c>
      <c r="G1139" s="60" t="s">
        <v>1628</v>
      </c>
      <c r="H1139" s="13" t="s">
        <v>9</v>
      </c>
      <c r="I1139" s="63" t="s">
        <v>1628</v>
      </c>
      <c r="J1139" s="62">
        <v>1200</v>
      </c>
      <c r="K1139" s="61" t="s">
        <v>1015</v>
      </c>
      <c r="L1139" s="64">
        <f>J1139*15000</f>
        <v>18000000</v>
      </c>
      <c r="N1139" s="2"/>
      <c r="O1139" s="3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</row>
    <row r="1140" spans="1:67" s="1" customFormat="1" x14ac:dyDescent="0.2">
      <c r="A1140" s="14" t="s">
        <v>2986</v>
      </c>
      <c r="B1140" s="14" t="s">
        <v>18</v>
      </c>
      <c r="C1140" s="14">
        <v>2025</v>
      </c>
      <c r="D1140" s="14" t="str">
        <f t="array" ref="D1140">_xlfn.SWITCH(E1140,"Jatikalen","35.18.20","Kertosono", "35.18.08","Lengkong","35.18.19","Loceret","35.18.04","Tanjunganom","35.18.11","Wilangan","35.18.15")</f>
        <v>35.18.11</v>
      </c>
      <c r="E1140" s="61" t="s">
        <v>27</v>
      </c>
      <c r="F1140" s="60" t="s">
        <v>1924</v>
      </c>
      <c r="G1140" s="60" t="s">
        <v>1628</v>
      </c>
      <c r="H1140" s="13" t="s">
        <v>9</v>
      </c>
      <c r="I1140" s="63" t="s">
        <v>1628</v>
      </c>
      <c r="J1140" s="62">
        <v>1000</v>
      </c>
      <c r="K1140" s="61" t="s">
        <v>1015</v>
      </c>
      <c r="L1140" s="64">
        <f>J1140*15000</f>
        <v>15000000</v>
      </c>
      <c r="N1140" s="2"/>
      <c r="O1140" s="3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</row>
    <row r="1141" spans="1:67" s="1" customFormat="1" ht="20" x14ac:dyDescent="0.2">
      <c r="A1141" s="14" t="s">
        <v>2986</v>
      </c>
      <c r="B1141" s="14" t="s">
        <v>18</v>
      </c>
      <c r="C1141" s="14">
        <v>2025</v>
      </c>
      <c r="D1141" s="14" t="str">
        <f t="array" ref="D1141">_xlfn.SWITCH(E1141,"Bagor","35.18.14","Sukomoro",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1" s="61" t="s">
        <v>7</v>
      </c>
      <c r="F1141" s="60" t="s">
        <v>1926</v>
      </c>
      <c r="G1141" s="60" t="s">
        <v>1927</v>
      </c>
      <c r="H1141" s="13" t="s">
        <v>9</v>
      </c>
      <c r="I1141" s="63" t="s">
        <v>1830</v>
      </c>
      <c r="J1141" s="62">
        <v>5000</v>
      </c>
      <c r="K1141" s="61" t="s">
        <v>953</v>
      </c>
      <c r="L1141" s="64">
        <f>J1141*50000</f>
        <v>250000000</v>
      </c>
      <c r="N1141" s="2"/>
      <c r="O1141" s="3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</row>
    <row r="1142" spans="1:67" s="1" customFormat="1" ht="20" x14ac:dyDescent="0.2">
      <c r="A1142" s="14" t="s">
        <v>2986</v>
      </c>
      <c r="B1142" s="14" t="s">
        <v>18</v>
      </c>
      <c r="C1142" s="14">
        <v>2025</v>
      </c>
      <c r="D1142" s="14" t="str">
        <f t="array" ref="D1142">_xlfn.SWITCH(E1142,"Bagor","35.18.14","Sukomoro",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2" s="61" t="s">
        <v>7</v>
      </c>
      <c r="F1142" s="60" t="s">
        <v>1926</v>
      </c>
      <c r="G1142" s="60" t="s">
        <v>1925</v>
      </c>
      <c r="H1142" s="13" t="s">
        <v>9</v>
      </c>
      <c r="I1142" s="63" t="s">
        <v>1830</v>
      </c>
      <c r="J1142" s="62">
        <v>3200</v>
      </c>
      <c r="K1142" s="61" t="s">
        <v>953</v>
      </c>
      <c r="L1142" s="64">
        <f>J1142*50000</f>
        <v>160000000</v>
      </c>
      <c r="N1142" s="2"/>
      <c r="O1142" s="3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</row>
    <row r="1143" spans="1:67" s="1" customFormat="1" ht="20" x14ac:dyDescent="0.2">
      <c r="A1143" s="14" t="s">
        <v>2986</v>
      </c>
      <c r="B1143" s="14" t="s">
        <v>18</v>
      </c>
      <c r="C1143" s="14">
        <v>2025</v>
      </c>
      <c r="D1143" s="14" t="str">
        <f t="array" ref="D1143">_xlfn.SWITCH(E1143,"Bagor","35.18.14","Sukomoro",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3" s="61" t="s">
        <v>7</v>
      </c>
      <c r="F1143" s="60" t="s">
        <v>1926</v>
      </c>
      <c r="G1143" s="60" t="s">
        <v>1925</v>
      </c>
      <c r="H1143" s="13" t="s">
        <v>9</v>
      </c>
      <c r="I1143" s="63" t="s">
        <v>1830</v>
      </c>
      <c r="J1143" s="62">
        <v>4000</v>
      </c>
      <c r="K1143" s="61" t="s">
        <v>953</v>
      </c>
      <c r="L1143" s="64">
        <f>J1143*50000</f>
        <v>200000000</v>
      </c>
      <c r="N1143" s="2"/>
      <c r="O1143" s="3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</row>
    <row r="1144" spans="1:67" s="1" customFormat="1" ht="20" x14ac:dyDescent="0.2">
      <c r="A1144" s="14" t="s">
        <v>2986</v>
      </c>
      <c r="B1144" s="14" t="s">
        <v>18</v>
      </c>
      <c r="C1144" s="14">
        <v>2025</v>
      </c>
      <c r="D1144" s="14" t="str">
        <f t="array" ref="D1144">_xlfn.SWITCH(E1144,"Bagor","35.18.14","Sukomoro",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4" s="61" t="s">
        <v>7</v>
      </c>
      <c r="F1144" s="60" t="s">
        <v>1926</v>
      </c>
      <c r="G1144" s="60" t="s">
        <v>1925</v>
      </c>
      <c r="H1144" s="13" t="s">
        <v>9</v>
      </c>
      <c r="I1144" s="63" t="s">
        <v>1830</v>
      </c>
      <c r="J1144" s="62">
        <v>2500</v>
      </c>
      <c r="K1144" s="61" t="s">
        <v>953</v>
      </c>
      <c r="L1144" s="64">
        <f>J1144*50000</f>
        <v>125000000</v>
      </c>
      <c r="N1144" s="2"/>
      <c r="O1144" s="3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</row>
    <row r="1145" spans="1:67" s="1" customFormat="1" ht="20" x14ac:dyDescent="0.2">
      <c r="A1145" s="14" t="s">
        <v>2986</v>
      </c>
      <c r="B1145" s="14" t="s">
        <v>18</v>
      </c>
      <c r="C1145" s="14">
        <v>2025</v>
      </c>
      <c r="D1145" s="14" t="str">
        <f t="array" ref="D1145">_xlfn.SWITCH(E1145,"Bagor","35.18.14","Sukomoro",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5" s="61" t="s">
        <v>7</v>
      </c>
      <c r="F1145" s="60" t="s">
        <v>1926</v>
      </c>
      <c r="G1145" s="60" t="s">
        <v>1925</v>
      </c>
      <c r="H1145" s="13" t="s">
        <v>9</v>
      </c>
      <c r="I1145" s="63" t="s">
        <v>1830</v>
      </c>
      <c r="J1145" s="62">
        <v>2000</v>
      </c>
      <c r="K1145" s="61" t="s">
        <v>953</v>
      </c>
      <c r="L1145" s="64">
        <f>J1145*50000</f>
        <v>100000000</v>
      </c>
      <c r="N1145" s="2"/>
      <c r="O1145" s="3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</row>
    <row r="1146" spans="1:67" s="1" customFormat="1" x14ac:dyDescent="0.2">
      <c r="A1146" s="14" t="s">
        <v>2986</v>
      </c>
      <c r="B1146" s="14" t="s">
        <v>18</v>
      </c>
      <c r="C1146" s="14">
        <v>2025</v>
      </c>
      <c r="D1146" s="14" t="str">
        <f t="array" ref="D1146">_xlfn.SWITCH(E1146,"Bagor","35.18.14","Sukomoro",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6" s="61" t="s">
        <v>18</v>
      </c>
      <c r="F1146" s="60" t="s">
        <v>1928</v>
      </c>
      <c r="G1146" s="60" t="s">
        <v>1893</v>
      </c>
      <c r="H1146" s="13" t="s">
        <v>9</v>
      </c>
      <c r="I1146" s="63" t="s">
        <v>1893</v>
      </c>
      <c r="J1146" s="62">
        <f>300*30*12</f>
        <v>108000</v>
      </c>
      <c r="K1146" s="61" t="s">
        <v>700</v>
      </c>
      <c r="L1146" s="64">
        <f>J1146*5000</f>
        <v>540000000</v>
      </c>
      <c r="N1146" s="2"/>
      <c r="O1146" s="3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</row>
    <row r="1147" spans="1:67" s="1" customFormat="1" x14ac:dyDescent="0.2">
      <c r="A1147" s="14" t="s">
        <v>2986</v>
      </c>
      <c r="B1147" s="14" t="s">
        <v>18</v>
      </c>
      <c r="C1147" s="14">
        <v>2025</v>
      </c>
      <c r="D1147" s="14" t="str">
        <f t="array" ref="D1147">_xlfn.SWITCH(E1147,"Bagor","35.18.14","Sukomoro",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7" s="61" t="s">
        <v>18</v>
      </c>
      <c r="F1147" s="60" t="s">
        <v>1928</v>
      </c>
      <c r="G1147" s="60" t="s">
        <v>1929</v>
      </c>
      <c r="H1147" s="61" t="s">
        <v>20</v>
      </c>
      <c r="I1147" s="63" t="s">
        <v>1893</v>
      </c>
      <c r="J1147" s="62">
        <f>350*30*12</f>
        <v>126000</v>
      </c>
      <c r="K1147" s="61" t="s">
        <v>700</v>
      </c>
      <c r="L1147" s="64">
        <f>J1147*5000</f>
        <v>630000000</v>
      </c>
      <c r="N1147" s="2"/>
      <c r="O1147" s="3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</row>
    <row r="1148" spans="1:67" s="1" customFormat="1" x14ac:dyDescent="0.2">
      <c r="A1148" s="14" t="s">
        <v>2986</v>
      </c>
      <c r="B1148" s="14" t="s">
        <v>18</v>
      </c>
      <c r="C1148" s="14">
        <v>2025</v>
      </c>
      <c r="D1148" s="14" t="str">
        <f t="array" ref="D1148">_xlfn.SWITCH(E1148,"Bagor","35.18.14","Sukomoro",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8" s="61" t="s">
        <v>7</v>
      </c>
      <c r="F1148" s="60" t="s">
        <v>157</v>
      </c>
      <c r="G1148" s="60" t="s">
        <v>1930</v>
      </c>
      <c r="H1148" s="61" t="s">
        <v>43</v>
      </c>
      <c r="I1148" s="63" t="s">
        <v>1661</v>
      </c>
      <c r="J1148" s="62">
        <v>1200</v>
      </c>
      <c r="K1148" s="61" t="s">
        <v>1102</v>
      </c>
      <c r="L1148" s="64">
        <v>144000000</v>
      </c>
      <c r="N1148" s="2"/>
      <c r="O1148" s="3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</row>
    <row r="1149" spans="1:67" s="1" customFormat="1" ht="20" x14ac:dyDescent="0.2">
      <c r="A1149" s="14" t="s">
        <v>2986</v>
      </c>
      <c r="B1149" s="14" t="s">
        <v>18</v>
      </c>
      <c r="C1149" s="14">
        <v>2025</v>
      </c>
      <c r="D1149" s="14" t="str">
        <f t="array" ref="D1149">_xlfn.SWITCH(E1149,"Bagor","35.18.14","Sukomoro",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149" s="61" t="s">
        <v>102</v>
      </c>
      <c r="F1149" s="60" t="s">
        <v>1931</v>
      </c>
      <c r="G1149" s="60" t="s">
        <v>1932</v>
      </c>
      <c r="H1149" s="61" t="s">
        <v>20</v>
      </c>
      <c r="I1149" s="63" t="s">
        <v>1933</v>
      </c>
      <c r="J1149" s="62">
        <v>150000</v>
      </c>
      <c r="K1149" s="61" t="s">
        <v>1015</v>
      </c>
      <c r="L1149" s="64">
        <f>J1149*4000</f>
        <v>600000000</v>
      </c>
      <c r="N1149" s="2"/>
      <c r="O1149" s="3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</row>
    <row r="1150" spans="1:67" s="1" customFormat="1" x14ac:dyDescent="0.2">
      <c r="A1150" s="14" t="s">
        <v>2986</v>
      </c>
      <c r="B1150" s="14" t="s">
        <v>18</v>
      </c>
      <c r="C1150" s="14">
        <v>2025</v>
      </c>
      <c r="D1150" s="14" t="str">
        <f t="array" ref="D1150">_xlfn.SWITCH(E1150,"Bagor","35.18.14","Sukomoro",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150" s="61" t="s">
        <v>72</v>
      </c>
      <c r="F1150" s="60" t="s">
        <v>1707</v>
      </c>
      <c r="G1150" s="60" t="s">
        <v>1934</v>
      </c>
      <c r="H1150" s="61" t="s">
        <v>9</v>
      </c>
      <c r="I1150" s="63" t="s">
        <v>993</v>
      </c>
      <c r="J1150" s="62">
        <f>5*25*12</f>
        <v>1500</v>
      </c>
      <c r="K1150" s="61" t="s">
        <v>994</v>
      </c>
      <c r="L1150" s="64">
        <f>J1150*200000</f>
        <v>300000000</v>
      </c>
      <c r="N1150" s="2"/>
      <c r="O1150" s="3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</row>
    <row r="1151" spans="1:67" s="1" customFormat="1" x14ac:dyDescent="0.2">
      <c r="A1151" s="14" t="s">
        <v>2986</v>
      </c>
      <c r="B1151" s="14" t="s">
        <v>18</v>
      </c>
      <c r="C1151" s="14">
        <v>2025</v>
      </c>
      <c r="D1151" s="14" t="str">
        <f t="array" ref="D1151">_xlfn.SWITCH(E1151,"Bagor","35.18.14","Sukomoro",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1" s="61" t="s">
        <v>18</v>
      </c>
      <c r="F1151" s="60" t="s">
        <v>1935</v>
      </c>
      <c r="G1151" s="60" t="s">
        <v>1936</v>
      </c>
      <c r="H1151" s="61" t="s">
        <v>9</v>
      </c>
      <c r="I1151" s="63" t="s">
        <v>993</v>
      </c>
      <c r="J1151" s="62">
        <v>1000</v>
      </c>
      <c r="K1151" s="61" t="s">
        <v>994</v>
      </c>
      <c r="L1151" s="64">
        <f>J1151*225000</f>
        <v>225000000</v>
      </c>
      <c r="N1151" s="2"/>
      <c r="O1151" s="3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</row>
    <row r="1152" spans="1:67" s="1" customFormat="1" x14ac:dyDescent="0.2">
      <c r="A1152" s="14" t="s">
        <v>2986</v>
      </c>
      <c r="B1152" s="14" t="s">
        <v>18</v>
      </c>
      <c r="C1152" s="14">
        <v>2025</v>
      </c>
      <c r="D1152" s="14" t="str">
        <f t="array" ref="D1152">_xlfn.SWITCH(E1152,"Bagor","35.18.14","Sukomoro",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2" s="61" t="s">
        <v>18</v>
      </c>
      <c r="F1152" s="60"/>
      <c r="G1152" s="60" t="s">
        <v>1937</v>
      </c>
      <c r="H1152" s="61" t="s">
        <v>20</v>
      </c>
      <c r="I1152" s="63" t="s">
        <v>840</v>
      </c>
      <c r="J1152" s="62">
        <f>50*20*12</f>
        <v>12000</v>
      </c>
      <c r="K1152" s="61" t="s">
        <v>1938</v>
      </c>
      <c r="L1152" s="64">
        <f>J1152*20000</f>
        <v>240000000</v>
      </c>
      <c r="N1152" s="2"/>
      <c r="O1152" s="3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</row>
    <row r="1153" spans="1:67" s="1" customFormat="1" x14ac:dyDescent="0.2">
      <c r="A1153" s="14" t="s">
        <v>2986</v>
      </c>
      <c r="B1153" s="14" t="s">
        <v>18</v>
      </c>
      <c r="C1153" s="14">
        <v>2025</v>
      </c>
      <c r="D1153" s="14" t="str">
        <f t="array" ref="D1153">_xlfn.SWITCH(E1153,"Bagor","35.18.14","Sukomoro",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3" s="61" t="s">
        <v>18</v>
      </c>
      <c r="F1153" s="60"/>
      <c r="G1153" s="60" t="s">
        <v>1939</v>
      </c>
      <c r="H1153" s="61" t="s">
        <v>20</v>
      </c>
      <c r="I1153" s="63" t="s">
        <v>1940</v>
      </c>
      <c r="J1153" s="62">
        <f>10*20*12</f>
        <v>2400</v>
      </c>
      <c r="K1153" s="61" t="s">
        <v>1015</v>
      </c>
      <c r="L1153" s="64">
        <f>J1153*50000</f>
        <v>120000000</v>
      </c>
      <c r="N1153" s="2"/>
      <c r="O1153" s="3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</row>
    <row r="1154" spans="1:67" s="1" customFormat="1" x14ac:dyDescent="0.2">
      <c r="A1154" s="14" t="s">
        <v>2986</v>
      </c>
      <c r="B1154" s="14" t="s">
        <v>18</v>
      </c>
      <c r="C1154" s="14">
        <v>2025</v>
      </c>
      <c r="D1154" s="14" t="str">
        <f t="array" ref="D1154">_xlfn.SWITCH(E1154,"Jatikalen","35.18.20","Kertosono", "35.18.08","Lengkong","35.18.19","Loceret","35.18.04","Tanjunganom","35.18.11","Wilangan","35.18.15")</f>
        <v>35.18.15</v>
      </c>
      <c r="E1154" s="61" t="s">
        <v>848</v>
      </c>
      <c r="F1154" s="60" t="s">
        <v>848</v>
      </c>
      <c r="G1154" s="60" t="s">
        <v>1941</v>
      </c>
      <c r="H1154" s="61" t="s">
        <v>9</v>
      </c>
      <c r="I1154" s="63" t="s">
        <v>993</v>
      </c>
      <c r="J1154" s="62">
        <f>4*20*12</f>
        <v>960</v>
      </c>
      <c r="K1154" s="61" t="s">
        <v>994</v>
      </c>
      <c r="L1154" s="64">
        <f>J1154*250000</f>
        <v>240000000</v>
      </c>
      <c r="N1154" s="2"/>
      <c r="O1154" s="3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</row>
    <row r="1155" spans="1:67" s="1" customFormat="1" x14ac:dyDescent="0.2">
      <c r="A1155" s="14" t="s">
        <v>2986</v>
      </c>
      <c r="B1155" s="14" t="s">
        <v>18</v>
      </c>
      <c r="C1155" s="14">
        <v>2025</v>
      </c>
      <c r="D1155" s="14" t="str">
        <f t="array" ref="D1155">_xlfn.SWITCH(E1155,"Bagor","35.18.14","Sukomoro",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155" s="61" t="s">
        <v>583</v>
      </c>
      <c r="F1155" s="60" t="s">
        <v>583</v>
      </c>
      <c r="G1155" s="60" t="s">
        <v>1942</v>
      </c>
      <c r="H1155" s="61" t="s">
        <v>9</v>
      </c>
      <c r="I1155" s="63" t="s">
        <v>1943</v>
      </c>
      <c r="J1155" s="62">
        <f>5*20*12</f>
        <v>1200</v>
      </c>
      <c r="K1155" s="61" t="s">
        <v>1015</v>
      </c>
      <c r="L1155" s="64">
        <f>J1155*100000</f>
        <v>120000000</v>
      </c>
      <c r="N1155" s="2"/>
      <c r="O1155" s="3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</row>
    <row r="1156" spans="1:67" s="1" customFormat="1" x14ac:dyDescent="0.2">
      <c r="A1156" s="14" t="s">
        <v>2986</v>
      </c>
      <c r="B1156" s="14" t="s">
        <v>18</v>
      </c>
      <c r="C1156" s="14">
        <v>2025</v>
      </c>
      <c r="D1156" s="14" t="str">
        <f t="array" ref="D1156">_xlfn.SWITCH(E1156,"Bagor","35.18.14","Sukomoro",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6" s="61" t="s">
        <v>18</v>
      </c>
      <c r="F1156" s="60" t="s">
        <v>1944</v>
      </c>
      <c r="G1156" s="60" t="s">
        <v>1945</v>
      </c>
      <c r="H1156" s="61" t="s">
        <v>9</v>
      </c>
      <c r="I1156" s="63" t="s">
        <v>1946</v>
      </c>
      <c r="J1156" s="62">
        <f>20*20*12</f>
        <v>4800</v>
      </c>
      <c r="K1156" s="61" t="s">
        <v>700</v>
      </c>
      <c r="L1156" s="64">
        <f>J1156*35000</f>
        <v>168000000</v>
      </c>
      <c r="N1156" s="2"/>
      <c r="O1156" s="3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</row>
    <row r="1157" spans="1:67" s="1" customFormat="1" x14ac:dyDescent="0.2">
      <c r="A1157" s="14" t="s">
        <v>2986</v>
      </c>
      <c r="B1157" s="14" t="s">
        <v>18</v>
      </c>
      <c r="C1157" s="14">
        <v>2025</v>
      </c>
      <c r="D1157" s="14" t="str">
        <f t="array" ref="D1157">_xlfn.SWITCH(E1157,"Jatikalen","35.18.20","Kertosono", "35.18.08","Lengkong","35.18.19","Loceret","35.18.04","Tanjunganom","35.18.11","Wilangan","35.18.15")</f>
        <v>35.18.19</v>
      </c>
      <c r="E1157" s="61" t="s">
        <v>30</v>
      </c>
      <c r="F1157" s="60" t="s">
        <v>1947</v>
      </c>
      <c r="G1157" s="60" t="s">
        <v>1948</v>
      </c>
      <c r="H1157" s="61" t="s">
        <v>9</v>
      </c>
      <c r="I1157" s="63" t="s">
        <v>1949</v>
      </c>
      <c r="J1157" s="62">
        <f>10*20*12</f>
        <v>2400</v>
      </c>
      <c r="K1157" s="61" t="s">
        <v>1015</v>
      </c>
      <c r="L1157" s="64">
        <f>J1157*25000</f>
        <v>60000000</v>
      </c>
      <c r="N1157" s="2"/>
      <c r="O1157" s="3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</row>
    <row r="1158" spans="1:67" s="1" customFormat="1" x14ac:dyDescent="0.2">
      <c r="A1158" s="14" t="s">
        <v>2986</v>
      </c>
      <c r="B1158" s="14" t="s">
        <v>18</v>
      </c>
      <c r="C1158" s="14">
        <v>2025</v>
      </c>
      <c r="D1158" s="14" t="str">
        <f t="array" ref="D1158">_xlfn.SWITCH(E1158,"Jatikalen","35.18.20","Kertosono", "35.18.08","Lengkong","35.18.19","Loceret","35.18.04","Tanjunganom","35.18.11","Wilangan","35.18.15")</f>
        <v>35.18.04</v>
      </c>
      <c r="E1158" s="61" t="s">
        <v>15</v>
      </c>
      <c r="F1158" s="60" t="s">
        <v>1950</v>
      </c>
      <c r="G1158" s="60" t="s">
        <v>1951</v>
      </c>
      <c r="H1158" s="61" t="s">
        <v>9</v>
      </c>
      <c r="I1158" s="63" t="s">
        <v>1952</v>
      </c>
      <c r="J1158" s="62">
        <f>15*25*12</f>
        <v>4500</v>
      </c>
      <c r="K1158" s="61" t="s">
        <v>700</v>
      </c>
      <c r="L1158" s="64">
        <v>60000000</v>
      </c>
      <c r="N1158" s="2"/>
      <c r="O1158" s="3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</row>
    <row r="1159" spans="1:67" s="1" customFormat="1" ht="20" x14ac:dyDescent="0.2">
      <c r="A1159" s="14" t="s">
        <v>2986</v>
      </c>
      <c r="B1159" s="14" t="s">
        <v>18</v>
      </c>
      <c r="C1159" s="14">
        <v>2025</v>
      </c>
      <c r="D1159" s="14" t="str">
        <f t="array" ref="D1159">_xlfn.SWITCH(E1159,"Bagor","35.18.14","Sukomoro",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59" s="61" t="s">
        <v>35</v>
      </c>
      <c r="F1159" s="60" t="s">
        <v>1240</v>
      </c>
      <c r="G1159" s="60" t="s">
        <v>1953</v>
      </c>
      <c r="H1159" s="61" t="s">
        <v>9</v>
      </c>
      <c r="I1159" s="63" t="s">
        <v>1182</v>
      </c>
      <c r="J1159" s="62">
        <v>5000</v>
      </c>
      <c r="K1159" s="61" t="s">
        <v>1938</v>
      </c>
      <c r="L1159" s="64">
        <f>J1159*25000</f>
        <v>125000000</v>
      </c>
      <c r="N1159" s="2"/>
      <c r="O1159" s="3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</row>
    <row r="1160" spans="1:67" s="1" customFormat="1" ht="20" x14ac:dyDescent="0.2">
      <c r="A1160" s="14" t="s">
        <v>2986</v>
      </c>
      <c r="B1160" s="14" t="s">
        <v>18</v>
      </c>
      <c r="C1160" s="14">
        <v>2025</v>
      </c>
      <c r="D1160" s="14" t="str">
        <f t="array" ref="D1160">_xlfn.SWITCH(E1160,"Bagor","35.18.14","Sukomoro",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160" s="61" t="s">
        <v>98</v>
      </c>
      <c r="F1160" s="60" t="s">
        <v>1954</v>
      </c>
      <c r="G1160" s="60" t="s">
        <v>1955</v>
      </c>
      <c r="H1160" s="61" t="s">
        <v>9</v>
      </c>
      <c r="I1160" s="63" t="s">
        <v>1956</v>
      </c>
      <c r="J1160" s="62">
        <f>20*25*12</f>
        <v>6000</v>
      </c>
      <c r="K1160" s="61" t="s">
        <v>1015</v>
      </c>
      <c r="L1160" s="64">
        <f>J1160*30000</f>
        <v>180000000</v>
      </c>
      <c r="N1160" s="2"/>
      <c r="O1160" s="3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</row>
    <row r="1161" spans="1:67" s="1" customFormat="1" ht="20" x14ac:dyDescent="0.2">
      <c r="A1161" s="14" t="s">
        <v>2986</v>
      </c>
      <c r="B1161" s="14" t="s">
        <v>18</v>
      </c>
      <c r="C1161" s="14">
        <v>2025</v>
      </c>
      <c r="D1161" s="14" t="str">
        <f t="array" ref="D1161">_xlfn.SWITCH(E1161,"Jatikalen","35.18.20","Kertosono", "35.18.08","Lengkong","35.18.19","Loceret","35.18.04","Tanjunganom","35.18.11","Wilangan","35.18.15")</f>
        <v>35.18.04</v>
      </c>
      <c r="E1161" s="61" t="s">
        <v>15</v>
      </c>
      <c r="F1161" s="60" t="s">
        <v>1957</v>
      </c>
      <c r="G1161" s="60" t="s">
        <v>1958</v>
      </c>
      <c r="H1161" s="61" t="s">
        <v>9</v>
      </c>
      <c r="I1161" s="63" t="s">
        <v>1959</v>
      </c>
      <c r="J1161" s="62">
        <f>20*20*12</f>
        <v>4800</v>
      </c>
      <c r="K1161" s="61" t="s">
        <v>700</v>
      </c>
      <c r="L1161" s="64">
        <f>J1161*30000</f>
        <v>144000000</v>
      </c>
      <c r="N1161" s="2"/>
      <c r="O1161" s="3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</row>
    <row r="1162" spans="1:67" s="1" customFormat="1" ht="20" x14ac:dyDescent="0.2">
      <c r="A1162" s="14" t="s">
        <v>2986</v>
      </c>
      <c r="B1162" s="14" t="s">
        <v>18</v>
      </c>
      <c r="C1162" s="14">
        <v>2025</v>
      </c>
      <c r="D1162" s="14" t="str">
        <f t="array" ref="D1162">_xlfn.SWITCH(E1162,"Bagor","35.18.14","Sukomoro",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2" s="61" t="s">
        <v>84</v>
      </c>
      <c r="F1162" s="60" t="s">
        <v>1960</v>
      </c>
      <c r="G1162" s="60" t="s">
        <v>1961</v>
      </c>
      <c r="H1162" s="61" t="s">
        <v>9</v>
      </c>
      <c r="I1162" s="63" t="s">
        <v>1962</v>
      </c>
      <c r="J1162" s="62">
        <f>8*25*12</f>
        <v>2400</v>
      </c>
      <c r="K1162" s="61" t="s">
        <v>700</v>
      </c>
      <c r="L1162" s="64">
        <f>J1162*30000</f>
        <v>72000000</v>
      </c>
      <c r="N1162" s="2"/>
      <c r="O1162" s="3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</row>
    <row r="1163" spans="1:67" s="1" customFormat="1" x14ac:dyDescent="0.2">
      <c r="A1163" s="14" t="s">
        <v>2986</v>
      </c>
      <c r="B1163" s="14" t="s">
        <v>18</v>
      </c>
      <c r="C1163" s="14">
        <v>2025</v>
      </c>
      <c r="D1163" s="14" t="str">
        <f t="array" ref="D1163">_xlfn.SWITCH(E1163,"Bagor","35.18.14","Sukomoro",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63" s="61" t="s">
        <v>18</v>
      </c>
      <c r="F1163" s="60" t="s">
        <v>1963</v>
      </c>
      <c r="G1163" s="65" t="s">
        <v>1964</v>
      </c>
      <c r="H1163" s="61" t="s">
        <v>9</v>
      </c>
      <c r="I1163" s="63" t="s">
        <v>1965</v>
      </c>
      <c r="J1163" s="62">
        <f>50*25*12</f>
        <v>15000</v>
      </c>
      <c r="K1163" s="61" t="s">
        <v>1015</v>
      </c>
      <c r="L1163" s="64">
        <f>J1163*50000</f>
        <v>750000000</v>
      </c>
      <c r="N1163" s="2"/>
      <c r="O1163" s="3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</row>
    <row r="1164" spans="1:67" s="1" customFormat="1" x14ac:dyDescent="0.2">
      <c r="A1164" s="14" t="s">
        <v>2986</v>
      </c>
      <c r="B1164" s="14" t="s">
        <v>18</v>
      </c>
      <c r="C1164" s="14">
        <v>2025</v>
      </c>
      <c r="D1164" s="14" t="str">
        <f t="array" ref="D1164">_xlfn.SWITCH(E1164,"Bagor","35.18.14","Sukomoro",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4" s="61" t="s">
        <v>84</v>
      </c>
      <c r="F1164" s="60" t="s">
        <v>1966</v>
      </c>
      <c r="G1164" s="65" t="s">
        <v>1967</v>
      </c>
      <c r="H1164" s="61" t="s">
        <v>9</v>
      </c>
      <c r="I1164" s="63" t="s">
        <v>1968</v>
      </c>
      <c r="J1164" s="62">
        <v>2000</v>
      </c>
      <c r="K1164" s="61" t="s">
        <v>1015</v>
      </c>
      <c r="L1164" s="64">
        <f>J1164*50000</f>
        <v>100000000</v>
      </c>
      <c r="N1164" s="2"/>
      <c r="O1164" s="3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</row>
    <row r="1165" spans="1:67" s="1" customFormat="1" x14ac:dyDescent="0.2">
      <c r="A1165" s="14" t="s">
        <v>2986</v>
      </c>
      <c r="B1165" s="14" t="s">
        <v>18</v>
      </c>
      <c r="C1165" s="14">
        <v>2025</v>
      </c>
      <c r="D1165" s="14" t="str">
        <f t="array" ref="D1165">_xlfn.SWITCH(E1165,"Bagor","35.18.14","Sukomoro",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5" s="61" t="s">
        <v>7</v>
      </c>
      <c r="F1165" s="60" t="s">
        <v>1320</v>
      </c>
      <c r="G1165" s="60" t="s">
        <v>1969</v>
      </c>
      <c r="H1165" s="61" t="s">
        <v>9</v>
      </c>
      <c r="I1165" s="63" t="s">
        <v>1970</v>
      </c>
      <c r="J1165" s="62">
        <v>1500</v>
      </c>
      <c r="K1165" s="61" t="s">
        <v>872</v>
      </c>
      <c r="L1165" s="64">
        <v>105000000</v>
      </c>
      <c r="N1165" s="2"/>
      <c r="O1165" s="3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</row>
    <row r="1166" spans="1:67" s="1" customFormat="1" ht="20" x14ac:dyDescent="0.2">
      <c r="A1166" s="14" t="s">
        <v>2986</v>
      </c>
      <c r="B1166" s="14" t="s">
        <v>18</v>
      </c>
      <c r="C1166" s="14">
        <v>2025</v>
      </c>
      <c r="D1166" s="14" t="str">
        <f t="array" ref="D1166">_xlfn.SWITCH(E1166,"Jatikalen","35.18.20","Kertosono", "35.18.08","Lengkong","35.18.19","Loceret","35.18.04","Tanjunganom","35.18.11","Wilangan","35.18.15")</f>
        <v>35.18.11</v>
      </c>
      <c r="E1166" s="61" t="s">
        <v>27</v>
      </c>
      <c r="F1166" s="60" t="s">
        <v>1892</v>
      </c>
      <c r="G1166" s="66" t="s">
        <v>1967</v>
      </c>
      <c r="H1166" s="61" t="s">
        <v>9</v>
      </c>
      <c r="I1166" s="63" t="s">
        <v>1971</v>
      </c>
      <c r="J1166" s="62">
        <v>2500</v>
      </c>
      <c r="K1166" s="61" t="s">
        <v>1015</v>
      </c>
      <c r="L1166" s="64">
        <f>J1166*45000</f>
        <v>112500000</v>
      </c>
      <c r="N1166" s="2"/>
      <c r="O1166" s="3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</row>
    <row r="1167" spans="1:67" s="1" customFormat="1" x14ac:dyDescent="0.2">
      <c r="A1167" s="14" t="s">
        <v>2986</v>
      </c>
      <c r="B1167" s="14" t="s">
        <v>18</v>
      </c>
      <c r="C1167" s="14">
        <v>2025</v>
      </c>
      <c r="D1167" s="14" t="str">
        <f t="array" ref="D1167">_xlfn.SWITCH(E1167,"Bagor","35.18.14","Sukomoro",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7" s="61" t="s">
        <v>7</v>
      </c>
      <c r="F1167" s="60" t="s">
        <v>1972</v>
      </c>
      <c r="G1167" s="66" t="s">
        <v>1973</v>
      </c>
      <c r="H1167" s="61" t="s">
        <v>9</v>
      </c>
      <c r="I1167" s="63" t="s">
        <v>1628</v>
      </c>
      <c r="J1167" s="62">
        <v>180</v>
      </c>
      <c r="K1167" s="61" t="s">
        <v>1011</v>
      </c>
      <c r="L1167" s="64">
        <f t="shared" ref="L1167:L1174" si="1">J1167*25000</f>
        <v>4500000</v>
      </c>
      <c r="N1167" s="2"/>
      <c r="O1167" s="3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</row>
    <row r="1168" spans="1:67" s="1" customFormat="1" x14ac:dyDescent="0.2">
      <c r="A1168" s="14" t="s">
        <v>2986</v>
      </c>
      <c r="B1168" s="14" t="s">
        <v>18</v>
      </c>
      <c r="C1168" s="14">
        <v>2025</v>
      </c>
      <c r="D1168" s="14" t="str">
        <f t="array" ref="D1168">_xlfn.SWITCH(E1168,"Bagor","35.18.14","Sukomoro",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8" s="61" t="s">
        <v>7</v>
      </c>
      <c r="F1168" s="60" t="s">
        <v>1972</v>
      </c>
      <c r="G1168" s="60" t="s">
        <v>1974</v>
      </c>
      <c r="H1168" s="61" t="s">
        <v>9</v>
      </c>
      <c r="I1168" s="63" t="s">
        <v>1628</v>
      </c>
      <c r="J1168" s="62">
        <v>240</v>
      </c>
      <c r="K1168" s="61" t="s">
        <v>1011</v>
      </c>
      <c r="L1168" s="64">
        <f t="shared" si="1"/>
        <v>6000000</v>
      </c>
      <c r="N1168" s="2"/>
      <c r="O1168" s="3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</row>
    <row r="1169" spans="1:67" s="1" customFormat="1" x14ac:dyDescent="0.2">
      <c r="A1169" s="14" t="s">
        <v>2986</v>
      </c>
      <c r="B1169" s="14" t="s">
        <v>18</v>
      </c>
      <c r="C1169" s="14">
        <v>2025</v>
      </c>
      <c r="D1169" s="14" t="str">
        <f t="array" ref="D1169">_xlfn.SWITCH(E1169,"Bagor","35.18.14","Sukomoro",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9" s="61" t="s">
        <v>7</v>
      </c>
      <c r="F1169" s="60" t="s">
        <v>1972</v>
      </c>
      <c r="G1169" s="60" t="s">
        <v>1975</v>
      </c>
      <c r="H1169" s="61" t="s">
        <v>9</v>
      </c>
      <c r="I1169" s="63" t="s">
        <v>1628</v>
      </c>
      <c r="J1169" s="62">
        <v>120</v>
      </c>
      <c r="K1169" s="61" t="s">
        <v>1011</v>
      </c>
      <c r="L1169" s="64">
        <f t="shared" si="1"/>
        <v>3000000</v>
      </c>
      <c r="N1169" s="2"/>
      <c r="O1169" s="3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</row>
    <row r="1170" spans="1:67" s="1" customFormat="1" x14ac:dyDescent="0.2">
      <c r="A1170" s="14" t="s">
        <v>2986</v>
      </c>
      <c r="B1170" s="14" t="s">
        <v>18</v>
      </c>
      <c r="C1170" s="14">
        <v>2025</v>
      </c>
      <c r="D1170" s="14" t="str">
        <f t="array" ref="D1170">_xlfn.SWITCH(E1170,"Bagor","35.18.14","Sukomoro",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0" s="61" t="s">
        <v>7</v>
      </c>
      <c r="F1170" s="60" t="s">
        <v>1972</v>
      </c>
      <c r="G1170" s="60" t="s">
        <v>1976</v>
      </c>
      <c r="H1170" s="61" t="s">
        <v>9</v>
      </c>
      <c r="I1170" s="63" t="s">
        <v>1628</v>
      </c>
      <c r="J1170" s="62">
        <v>240</v>
      </c>
      <c r="K1170" s="61" t="s">
        <v>1011</v>
      </c>
      <c r="L1170" s="64">
        <f t="shared" si="1"/>
        <v>6000000</v>
      </c>
      <c r="N1170" s="2"/>
      <c r="O1170" s="3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</row>
    <row r="1171" spans="1:67" s="1" customFormat="1" x14ac:dyDescent="0.2">
      <c r="A1171" s="14" t="s">
        <v>2986</v>
      </c>
      <c r="B1171" s="14" t="s">
        <v>18</v>
      </c>
      <c r="C1171" s="14">
        <v>2025</v>
      </c>
      <c r="D1171" s="14" t="str">
        <f t="array" ref="D1171">_xlfn.SWITCH(E1171,"Bagor","35.18.14","Sukomoro",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1" s="61" t="s">
        <v>7</v>
      </c>
      <c r="F1171" s="60" t="s">
        <v>1972</v>
      </c>
      <c r="G1171" s="60" t="s">
        <v>1977</v>
      </c>
      <c r="H1171" s="61" t="s">
        <v>9</v>
      </c>
      <c r="I1171" s="63" t="s">
        <v>1628</v>
      </c>
      <c r="J1171" s="62">
        <v>240</v>
      </c>
      <c r="K1171" s="61" t="s">
        <v>1011</v>
      </c>
      <c r="L1171" s="64">
        <f t="shared" si="1"/>
        <v>6000000</v>
      </c>
      <c r="N1171" s="2"/>
      <c r="O1171" s="3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</row>
    <row r="1172" spans="1:67" s="1" customFormat="1" x14ac:dyDescent="0.2">
      <c r="A1172" s="14" t="s">
        <v>2986</v>
      </c>
      <c r="B1172" s="14" t="s">
        <v>18</v>
      </c>
      <c r="C1172" s="14">
        <v>2025</v>
      </c>
      <c r="D1172" s="14" t="str">
        <f t="array" ref="D1172">_xlfn.SWITCH(E1172,"Bagor","35.18.14","Sukomoro",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2" s="61" t="s">
        <v>7</v>
      </c>
      <c r="F1172" s="60" t="s">
        <v>1972</v>
      </c>
      <c r="G1172" s="60" t="s">
        <v>1978</v>
      </c>
      <c r="H1172" s="61" t="s">
        <v>9</v>
      </c>
      <c r="I1172" s="63" t="s">
        <v>1628</v>
      </c>
      <c r="J1172" s="62">
        <v>120</v>
      </c>
      <c r="K1172" s="61" t="s">
        <v>1011</v>
      </c>
      <c r="L1172" s="64">
        <f t="shared" si="1"/>
        <v>3000000</v>
      </c>
      <c r="N1172" s="2"/>
      <c r="O1172" s="3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</row>
    <row r="1173" spans="1:67" s="1" customFormat="1" x14ac:dyDescent="0.2">
      <c r="A1173" s="14" t="s">
        <v>2986</v>
      </c>
      <c r="B1173" s="14" t="s">
        <v>18</v>
      </c>
      <c r="C1173" s="14">
        <v>2025</v>
      </c>
      <c r="D1173" s="14" t="str">
        <f t="array" ref="D1173">_xlfn.SWITCH(E1173,"Bagor","35.18.14","Sukomoro",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3" s="61" t="s">
        <v>7</v>
      </c>
      <c r="F1173" s="60" t="s">
        <v>1972</v>
      </c>
      <c r="G1173" s="60" t="s">
        <v>1979</v>
      </c>
      <c r="H1173" s="61" t="s">
        <v>9</v>
      </c>
      <c r="I1173" s="63" t="s">
        <v>1628</v>
      </c>
      <c r="J1173" s="62">
        <v>180</v>
      </c>
      <c r="K1173" s="61" t="s">
        <v>1011</v>
      </c>
      <c r="L1173" s="64">
        <f t="shared" si="1"/>
        <v>4500000</v>
      </c>
      <c r="N1173" s="2"/>
      <c r="O1173" s="3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</row>
    <row r="1174" spans="1:67" s="1" customFormat="1" x14ac:dyDescent="0.2">
      <c r="A1174" s="14" t="s">
        <v>2986</v>
      </c>
      <c r="B1174" s="14" t="s">
        <v>18</v>
      </c>
      <c r="C1174" s="14">
        <v>2025</v>
      </c>
      <c r="D1174" s="14" t="str">
        <f t="array" ref="D1174">_xlfn.SWITCH(E1174,"Bagor","35.18.14","Sukomoro",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4" s="61" t="s">
        <v>7</v>
      </c>
      <c r="F1174" s="60" t="s">
        <v>1972</v>
      </c>
      <c r="G1174" s="60" t="s">
        <v>1980</v>
      </c>
      <c r="H1174" s="61" t="s">
        <v>9</v>
      </c>
      <c r="I1174" s="63" t="s">
        <v>1628</v>
      </c>
      <c r="J1174" s="62">
        <v>240</v>
      </c>
      <c r="K1174" s="61" t="s">
        <v>1011</v>
      </c>
      <c r="L1174" s="64">
        <f t="shared" si="1"/>
        <v>6000000</v>
      </c>
      <c r="N1174" s="2"/>
      <c r="O1174" s="3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</row>
    <row r="1175" spans="1:67" s="1" customFormat="1" x14ac:dyDescent="0.2">
      <c r="A1175" s="14" t="s">
        <v>2986</v>
      </c>
      <c r="B1175" s="14" t="s">
        <v>18</v>
      </c>
      <c r="C1175" s="14">
        <v>2025</v>
      </c>
      <c r="D1175" s="14" t="str">
        <f t="array" ref="D1175">_xlfn.SWITCH(E1175,"Bagor","35.18.14","Sukomoro",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5" s="61" t="s">
        <v>7</v>
      </c>
      <c r="F1175" s="60" t="s">
        <v>1972</v>
      </c>
      <c r="G1175" s="60" t="s">
        <v>1981</v>
      </c>
      <c r="H1175" s="61" t="s">
        <v>9</v>
      </c>
      <c r="I1175" s="63" t="s">
        <v>1628</v>
      </c>
      <c r="J1175" s="62">
        <v>120</v>
      </c>
      <c r="K1175" s="61" t="s">
        <v>1015</v>
      </c>
      <c r="L1175" s="64">
        <f>J1175*15000</f>
        <v>1800000</v>
      </c>
      <c r="N1175" s="2"/>
      <c r="O1175" s="3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</row>
    <row r="1176" spans="1:67" s="1" customFormat="1" x14ac:dyDescent="0.2">
      <c r="A1176" s="14" t="s">
        <v>2986</v>
      </c>
      <c r="B1176" s="14" t="s">
        <v>18</v>
      </c>
      <c r="C1176" s="14">
        <v>2025</v>
      </c>
      <c r="D1176" s="14" t="str">
        <f t="array" ref="D1176">_xlfn.SWITCH(E1176,"Bagor","35.18.14","Sukomoro",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6" s="61" t="s">
        <v>7</v>
      </c>
      <c r="F1176" s="60" t="s">
        <v>1972</v>
      </c>
      <c r="G1176" s="60" t="s">
        <v>1982</v>
      </c>
      <c r="H1176" s="61" t="s">
        <v>9</v>
      </c>
      <c r="I1176" s="63" t="s">
        <v>1628</v>
      </c>
      <c r="J1176" s="62">
        <v>180</v>
      </c>
      <c r="K1176" s="61" t="s">
        <v>1011</v>
      </c>
      <c r="L1176" s="64">
        <f>J1176*25000</f>
        <v>4500000</v>
      </c>
      <c r="N1176" s="2"/>
      <c r="O1176" s="3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</row>
    <row r="1177" spans="1:67" s="1" customFormat="1" x14ac:dyDescent="0.2">
      <c r="A1177" s="14" t="s">
        <v>2986</v>
      </c>
      <c r="B1177" s="14" t="s">
        <v>18</v>
      </c>
      <c r="C1177" s="14">
        <v>2025</v>
      </c>
      <c r="D1177" s="14" t="str">
        <f t="array" ref="D1177">_xlfn.SWITCH(E1177,"Bagor","35.18.14","Sukomoro",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7" s="61" t="s">
        <v>7</v>
      </c>
      <c r="F1177" s="60" t="s">
        <v>1972</v>
      </c>
      <c r="G1177" s="60" t="s">
        <v>1983</v>
      </c>
      <c r="H1177" s="61" t="s">
        <v>9</v>
      </c>
      <c r="I1177" s="63" t="s">
        <v>1628</v>
      </c>
      <c r="J1177" s="62">
        <v>180</v>
      </c>
      <c r="K1177" s="61" t="s">
        <v>1011</v>
      </c>
      <c r="L1177" s="64">
        <f>J1177*25000</f>
        <v>4500000</v>
      </c>
      <c r="N1177" s="2"/>
      <c r="O1177" s="3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</row>
    <row r="1178" spans="1:67" s="1" customFormat="1" x14ac:dyDescent="0.2">
      <c r="A1178" s="14" t="s">
        <v>2986</v>
      </c>
      <c r="B1178" s="14" t="s">
        <v>18</v>
      </c>
      <c r="C1178" s="14">
        <v>2025</v>
      </c>
      <c r="D1178" s="14" t="str">
        <f t="array" ref="D1178">_xlfn.SWITCH(E1178,"Bagor","35.18.14","Sukomoro",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8" s="61" t="s">
        <v>7</v>
      </c>
      <c r="F1178" s="60" t="s">
        <v>1972</v>
      </c>
      <c r="G1178" s="60" t="s">
        <v>1984</v>
      </c>
      <c r="H1178" s="61" t="s">
        <v>9</v>
      </c>
      <c r="I1178" s="63" t="s">
        <v>1628</v>
      </c>
      <c r="J1178" s="62">
        <v>300</v>
      </c>
      <c r="K1178" s="61" t="s">
        <v>1015</v>
      </c>
      <c r="L1178" s="64">
        <f t="shared" ref="L1178:L1183" si="2">J1178*15000</f>
        <v>4500000</v>
      </c>
      <c r="N1178" s="2"/>
      <c r="O1178" s="3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</row>
    <row r="1179" spans="1:67" s="1" customFormat="1" x14ac:dyDescent="0.2">
      <c r="A1179" s="14" t="s">
        <v>2986</v>
      </c>
      <c r="B1179" s="14" t="s">
        <v>18</v>
      </c>
      <c r="C1179" s="14">
        <v>2025</v>
      </c>
      <c r="D1179" s="14" t="str">
        <f t="array" ref="D1179">_xlfn.SWITCH(E1179,"Bagor","35.18.14","Sukomoro",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9" s="61" t="s">
        <v>7</v>
      </c>
      <c r="F1179" s="60" t="s">
        <v>1972</v>
      </c>
      <c r="G1179" s="60" t="s">
        <v>1985</v>
      </c>
      <c r="H1179" s="61" t="s">
        <v>9</v>
      </c>
      <c r="I1179" s="63" t="s">
        <v>1628</v>
      </c>
      <c r="J1179" s="62">
        <v>120</v>
      </c>
      <c r="K1179" s="61" t="s">
        <v>1015</v>
      </c>
      <c r="L1179" s="64">
        <f t="shared" si="2"/>
        <v>1800000</v>
      </c>
      <c r="N1179" s="2"/>
      <c r="O1179" s="3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</row>
    <row r="1180" spans="1:67" s="1" customFormat="1" x14ac:dyDescent="0.2">
      <c r="A1180" s="14" t="s">
        <v>2986</v>
      </c>
      <c r="B1180" s="14" t="s">
        <v>18</v>
      </c>
      <c r="C1180" s="14">
        <v>2025</v>
      </c>
      <c r="D1180" s="14" t="str">
        <f t="array" ref="D1180">_xlfn.SWITCH(E1180,"Bagor","35.18.14","Sukomoro",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0" s="61" t="s">
        <v>7</v>
      </c>
      <c r="F1180" s="60" t="s">
        <v>1972</v>
      </c>
      <c r="G1180" s="60" t="s">
        <v>1986</v>
      </c>
      <c r="H1180" s="61" t="s">
        <v>9</v>
      </c>
      <c r="I1180" s="63" t="s">
        <v>1628</v>
      </c>
      <c r="J1180" s="62">
        <v>240</v>
      </c>
      <c r="K1180" s="61" t="s">
        <v>1015</v>
      </c>
      <c r="L1180" s="64">
        <f t="shared" si="2"/>
        <v>3600000</v>
      </c>
      <c r="N1180" s="2"/>
      <c r="O1180" s="3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</row>
    <row r="1181" spans="1:67" s="1" customFormat="1" x14ac:dyDescent="0.2">
      <c r="A1181" s="14" t="s">
        <v>2986</v>
      </c>
      <c r="B1181" s="14" t="s">
        <v>18</v>
      </c>
      <c r="C1181" s="14">
        <v>2025</v>
      </c>
      <c r="D1181" s="14" t="str">
        <f t="array" ref="D1181">_xlfn.SWITCH(E1181,"Bagor","35.18.14","Sukomoro",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1" s="61" t="s">
        <v>7</v>
      </c>
      <c r="F1181" s="60" t="s">
        <v>1972</v>
      </c>
      <c r="G1181" s="60" t="s">
        <v>1987</v>
      </c>
      <c r="H1181" s="61" t="s">
        <v>9</v>
      </c>
      <c r="I1181" s="63" t="s">
        <v>1628</v>
      </c>
      <c r="J1181" s="62">
        <v>180</v>
      </c>
      <c r="K1181" s="61" t="s">
        <v>1015</v>
      </c>
      <c r="L1181" s="64">
        <f t="shared" si="2"/>
        <v>2700000</v>
      </c>
      <c r="N1181" s="2"/>
      <c r="O1181" s="3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</row>
    <row r="1182" spans="1:67" s="1" customFormat="1" x14ac:dyDescent="0.2">
      <c r="A1182" s="14" t="s">
        <v>2986</v>
      </c>
      <c r="B1182" s="14" t="s">
        <v>18</v>
      </c>
      <c r="C1182" s="14">
        <v>2025</v>
      </c>
      <c r="D1182" s="14" t="str">
        <f t="array" ref="D1182">_xlfn.SWITCH(E1182,"Bagor","35.18.14","Sukomoro",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2" s="61" t="s">
        <v>7</v>
      </c>
      <c r="F1182" s="60" t="s">
        <v>1972</v>
      </c>
      <c r="G1182" s="60" t="s">
        <v>1988</v>
      </c>
      <c r="H1182" s="61" t="s">
        <v>9</v>
      </c>
      <c r="I1182" s="63" t="s">
        <v>1628</v>
      </c>
      <c r="J1182" s="62">
        <v>120</v>
      </c>
      <c r="K1182" s="61" t="s">
        <v>1015</v>
      </c>
      <c r="L1182" s="64">
        <f t="shared" si="2"/>
        <v>1800000</v>
      </c>
      <c r="N1182" s="2"/>
      <c r="O1182" s="3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</row>
    <row r="1183" spans="1:67" s="1" customFormat="1" x14ac:dyDescent="0.2">
      <c r="A1183" s="14" t="s">
        <v>2986</v>
      </c>
      <c r="B1183" s="14" t="s">
        <v>18</v>
      </c>
      <c r="C1183" s="14">
        <v>2025</v>
      </c>
      <c r="D1183" s="14" t="str">
        <f t="array" ref="D1183">_xlfn.SWITCH(E1183,"Bagor","35.18.14","Sukomoro",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3" s="61" t="s">
        <v>7</v>
      </c>
      <c r="F1183" s="60" t="s">
        <v>1972</v>
      </c>
      <c r="G1183" s="60" t="s">
        <v>1989</v>
      </c>
      <c r="H1183" s="61" t="s">
        <v>9</v>
      </c>
      <c r="I1183" s="63" t="s">
        <v>1628</v>
      </c>
      <c r="J1183" s="62">
        <v>120</v>
      </c>
      <c r="K1183" s="61" t="s">
        <v>1015</v>
      </c>
      <c r="L1183" s="64">
        <f t="shared" si="2"/>
        <v>1800000</v>
      </c>
      <c r="N1183" s="2"/>
      <c r="O1183" s="3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</row>
    <row r="1184" spans="1:67" s="1" customFormat="1" x14ac:dyDescent="0.2">
      <c r="A1184" s="14" t="s">
        <v>2986</v>
      </c>
      <c r="B1184" s="14" t="s">
        <v>18</v>
      </c>
      <c r="C1184" s="14">
        <v>2025</v>
      </c>
      <c r="D1184" s="14" t="str">
        <f t="array" ref="D1184">_xlfn.SWITCH(E1184,"Bagor","35.18.14","Sukomoro",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4" s="61" t="s">
        <v>7</v>
      </c>
      <c r="F1184" s="60" t="s">
        <v>1972</v>
      </c>
      <c r="G1184" s="60" t="s">
        <v>1990</v>
      </c>
      <c r="H1184" s="61" t="s">
        <v>9</v>
      </c>
      <c r="I1184" s="63" t="s">
        <v>1628</v>
      </c>
      <c r="J1184" s="62">
        <v>240</v>
      </c>
      <c r="K1184" s="61" t="s">
        <v>1011</v>
      </c>
      <c r="L1184" s="64">
        <f>J1184*25000</f>
        <v>6000000</v>
      </c>
      <c r="N1184" s="2"/>
      <c r="O1184" s="3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</row>
    <row r="1185" spans="1:67" s="1" customFormat="1" x14ac:dyDescent="0.2">
      <c r="A1185" s="14" t="s">
        <v>2986</v>
      </c>
      <c r="B1185" s="14" t="s">
        <v>18</v>
      </c>
      <c r="C1185" s="14">
        <v>2025</v>
      </c>
      <c r="D1185" s="14" t="str">
        <f t="array" ref="D1185">_xlfn.SWITCH(E1185,"Bagor","35.18.14","Sukomoro",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5" s="61" t="s">
        <v>7</v>
      </c>
      <c r="F1185" s="60" t="s">
        <v>1972</v>
      </c>
      <c r="G1185" s="60" t="s">
        <v>1991</v>
      </c>
      <c r="H1185" s="61" t="s">
        <v>9</v>
      </c>
      <c r="I1185" s="63" t="s">
        <v>1628</v>
      </c>
      <c r="J1185" s="62">
        <v>180</v>
      </c>
      <c r="K1185" s="61" t="s">
        <v>1015</v>
      </c>
      <c r="L1185" s="64">
        <f>J1185*15000</f>
        <v>2700000</v>
      </c>
      <c r="N1185" s="2"/>
      <c r="O1185" s="3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</row>
    <row r="1186" spans="1:67" s="1" customFormat="1" x14ac:dyDescent="0.2">
      <c r="A1186" s="14" t="s">
        <v>2986</v>
      </c>
      <c r="B1186" s="14" t="s">
        <v>18</v>
      </c>
      <c r="C1186" s="14">
        <v>2025</v>
      </c>
      <c r="D1186" s="14" t="str">
        <f t="array" ref="D1186">_xlfn.SWITCH(E1186,"Bagor","35.18.14","Sukomoro",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6" s="61" t="s">
        <v>7</v>
      </c>
      <c r="F1186" s="60" t="s">
        <v>1972</v>
      </c>
      <c r="G1186" s="60" t="s">
        <v>1992</v>
      </c>
      <c r="H1186" s="61" t="s">
        <v>9</v>
      </c>
      <c r="I1186" s="63" t="s">
        <v>1628</v>
      </c>
      <c r="J1186" s="62">
        <v>180</v>
      </c>
      <c r="K1186" s="61" t="s">
        <v>1011</v>
      </c>
      <c r="L1186" s="64">
        <f>J1186*25000</f>
        <v>4500000</v>
      </c>
      <c r="N1186" s="2"/>
      <c r="O1186" s="3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</row>
    <row r="1187" spans="1:67" s="1" customFormat="1" x14ac:dyDescent="0.2">
      <c r="A1187" s="14" t="s">
        <v>2986</v>
      </c>
      <c r="B1187" s="14" t="s">
        <v>18</v>
      </c>
      <c r="C1187" s="14">
        <v>2025</v>
      </c>
      <c r="D1187" s="14" t="str">
        <f t="array" ref="D1187">_xlfn.SWITCH(E1187,"Bagor","35.18.14","Sukomoro",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7" s="61" t="s">
        <v>7</v>
      </c>
      <c r="F1187" s="60" t="s">
        <v>1972</v>
      </c>
      <c r="G1187" s="60" t="s">
        <v>1993</v>
      </c>
      <c r="H1187" s="61" t="s">
        <v>9</v>
      </c>
      <c r="I1187" s="63" t="s">
        <v>1628</v>
      </c>
      <c r="J1187" s="62">
        <v>120</v>
      </c>
      <c r="K1187" s="61" t="s">
        <v>1015</v>
      </c>
      <c r="L1187" s="64">
        <f>J1187*15000</f>
        <v>1800000</v>
      </c>
      <c r="N1187" s="2"/>
      <c r="O1187" s="3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</row>
    <row r="1188" spans="1:67" x14ac:dyDescent="0.2">
      <c r="A1188" s="14" t="s">
        <v>2986</v>
      </c>
      <c r="B1188" s="14" t="s">
        <v>18</v>
      </c>
      <c r="C1188" s="14">
        <v>2025</v>
      </c>
      <c r="D1188" s="14" t="str">
        <f t="array" ref="D1188">_xlfn.SWITCH(E1188,"Bagor","35.18.14","Sukomoro",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8" s="61" t="s">
        <v>7</v>
      </c>
      <c r="F1188" s="60" t="s">
        <v>1972</v>
      </c>
      <c r="G1188" s="60" t="s">
        <v>1994</v>
      </c>
      <c r="H1188" s="61" t="s">
        <v>9</v>
      </c>
      <c r="I1188" s="63" t="s">
        <v>1628</v>
      </c>
      <c r="J1188" s="62">
        <v>120</v>
      </c>
      <c r="K1188" s="61" t="s">
        <v>1015</v>
      </c>
      <c r="L1188" s="64">
        <f>J1188*15000</f>
        <v>1800000</v>
      </c>
    </row>
    <row r="1189" spans="1:67" ht="20" x14ac:dyDescent="0.2">
      <c r="A1189" s="14" t="s">
        <v>2986</v>
      </c>
      <c r="B1189" s="14" t="s">
        <v>18</v>
      </c>
      <c r="C1189" s="14">
        <v>2025</v>
      </c>
      <c r="D1189" s="14" t="str">
        <f t="array" ref="D1189">_xlfn.SWITCH(E1189,"Bagor","35.18.14","Sukomoro",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89" s="61" t="s">
        <v>57</v>
      </c>
      <c r="F1189" s="63" t="s">
        <v>1995</v>
      </c>
      <c r="G1189" s="60" t="s">
        <v>1996</v>
      </c>
      <c r="H1189" s="61" t="s">
        <v>9</v>
      </c>
      <c r="I1189" s="68" t="s">
        <v>1846</v>
      </c>
      <c r="J1189" s="69">
        <v>1500</v>
      </c>
      <c r="K1189" s="70" t="s">
        <v>1938</v>
      </c>
      <c r="L1189" s="62">
        <f t="shared" ref="L1189:L1202" si="3">J1189*5000</f>
        <v>7500000</v>
      </c>
      <c r="M1189" s="2"/>
      <c r="O1189" s="2"/>
    </row>
    <row r="1190" spans="1:67" ht="20" x14ac:dyDescent="0.2">
      <c r="A1190" s="14" t="s">
        <v>2986</v>
      </c>
      <c r="B1190" s="14" t="s">
        <v>18</v>
      </c>
      <c r="C1190" s="14">
        <v>2025</v>
      </c>
      <c r="D1190" s="14" t="str">
        <f t="array" ref="D1190">_xlfn.SWITCH(E1190,"Bagor","35.18.14","Sukomoro",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0" s="61" t="s">
        <v>57</v>
      </c>
      <c r="F1190" s="63" t="s">
        <v>1995</v>
      </c>
      <c r="G1190" s="60" t="s">
        <v>1997</v>
      </c>
      <c r="H1190" s="61" t="s">
        <v>9</v>
      </c>
      <c r="I1190" s="68" t="s">
        <v>1846</v>
      </c>
      <c r="J1190" s="69">
        <v>900</v>
      </c>
      <c r="K1190" s="70" t="s">
        <v>1938</v>
      </c>
      <c r="L1190" s="62">
        <f t="shared" si="3"/>
        <v>4500000</v>
      </c>
      <c r="M1190" s="2"/>
      <c r="O1190" s="2"/>
    </row>
    <row r="1191" spans="1:67" ht="20" x14ac:dyDescent="0.2">
      <c r="A1191" s="14" t="s">
        <v>2986</v>
      </c>
      <c r="B1191" s="14" t="s">
        <v>18</v>
      </c>
      <c r="C1191" s="14">
        <v>2025</v>
      </c>
      <c r="D1191" s="14" t="str">
        <f t="array" ref="D1191">_xlfn.SWITCH(E1191,"Bagor","35.18.14","Sukomoro",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1" s="61" t="s">
        <v>57</v>
      </c>
      <c r="F1191" s="63" t="s">
        <v>1995</v>
      </c>
      <c r="G1191" s="60" t="s">
        <v>1998</v>
      </c>
      <c r="H1191" s="61" t="s">
        <v>9</v>
      </c>
      <c r="I1191" s="68" t="s">
        <v>1846</v>
      </c>
      <c r="J1191" s="69">
        <v>900</v>
      </c>
      <c r="K1191" s="70" t="s">
        <v>1938</v>
      </c>
      <c r="L1191" s="62">
        <f t="shared" si="3"/>
        <v>4500000</v>
      </c>
      <c r="M1191" s="2"/>
      <c r="O1191" s="2"/>
    </row>
    <row r="1192" spans="1:67" ht="20" x14ac:dyDescent="0.2">
      <c r="A1192" s="14" t="s">
        <v>2986</v>
      </c>
      <c r="B1192" s="14" t="s">
        <v>18</v>
      </c>
      <c r="C1192" s="14">
        <v>2025</v>
      </c>
      <c r="D1192" s="14" t="str">
        <f t="array" ref="D1192">_xlfn.SWITCH(E1192,"Bagor","35.18.14","Sukomoro",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2" s="61" t="s">
        <v>57</v>
      </c>
      <c r="F1192" s="63" t="s">
        <v>1995</v>
      </c>
      <c r="G1192" s="60" t="s">
        <v>1999</v>
      </c>
      <c r="H1192" s="61" t="s">
        <v>9</v>
      </c>
      <c r="I1192" s="68" t="s">
        <v>1846</v>
      </c>
      <c r="J1192" s="69">
        <v>600</v>
      </c>
      <c r="K1192" s="70" t="s">
        <v>1938</v>
      </c>
      <c r="L1192" s="62">
        <f t="shared" si="3"/>
        <v>3000000</v>
      </c>
      <c r="M1192" s="2"/>
      <c r="O1192" s="2"/>
    </row>
    <row r="1193" spans="1:67" ht="20" x14ac:dyDescent="0.2">
      <c r="A1193" s="14" t="s">
        <v>2986</v>
      </c>
      <c r="B1193" s="14" t="s">
        <v>18</v>
      </c>
      <c r="C1193" s="14">
        <v>2025</v>
      </c>
      <c r="D1193" s="14" t="str">
        <f t="array" ref="D1193">_xlfn.SWITCH(E1193,"Bagor","35.18.14","Sukomoro",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3" s="61" t="s">
        <v>57</v>
      </c>
      <c r="F1193" s="63" t="s">
        <v>1995</v>
      </c>
      <c r="G1193" s="60" t="s">
        <v>2000</v>
      </c>
      <c r="H1193" s="61" t="s">
        <v>9</v>
      </c>
      <c r="I1193" s="68" t="s">
        <v>1846</v>
      </c>
      <c r="J1193" s="69">
        <v>600</v>
      </c>
      <c r="K1193" s="70" t="s">
        <v>1938</v>
      </c>
      <c r="L1193" s="62">
        <f t="shared" si="3"/>
        <v>3000000</v>
      </c>
      <c r="M1193" s="2"/>
      <c r="O1193" s="2"/>
    </row>
    <row r="1194" spans="1:67" ht="20" x14ac:dyDescent="0.2">
      <c r="A1194" s="14" t="s">
        <v>2986</v>
      </c>
      <c r="B1194" s="14" t="s">
        <v>18</v>
      </c>
      <c r="C1194" s="14">
        <v>2025</v>
      </c>
      <c r="D1194" s="14" t="str">
        <f t="array" ref="D1194">_xlfn.SWITCH(E1194,"Bagor","35.18.14","Sukomoro",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4" s="61" t="s">
        <v>57</v>
      </c>
      <c r="F1194" s="63" t="s">
        <v>1995</v>
      </c>
      <c r="G1194" s="60" t="s">
        <v>2001</v>
      </c>
      <c r="H1194" s="61" t="s">
        <v>9</v>
      </c>
      <c r="I1194" s="68" t="s">
        <v>1846</v>
      </c>
      <c r="J1194" s="69">
        <v>1200</v>
      </c>
      <c r="K1194" s="70" t="s">
        <v>1938</v>
      </c>
      <c r="L1194" s="62">
        <f t="shared" si="3"/>
        <v>6000000</v>
      </c>
      <c r="M1194" s="2"/>
      <c r="O1194" s="2"/>
    </row>
    <row r="1195" spans="1:67" ht="20" x14ac:dyDescent="0.2">
      <c r="A1195" s="14" t="s">
        <v>2986</v>
      </c>
      <c r="B1195" s="14" t="s">
        <v>18</v>
      </c>
      <c r="C1195" s="14">
        <v>2025</v>
      </c>
      <c r="D1195" s="14" t="str">
        <f t="array" ref="D1195">_xlfn.SWITCH(E1195,"Bagor","35.18.14","Sukomoro",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5" s="61" t="s">
        <v>57</v>
      </c>
      <c r="F1195" s="63" t="s">
        <v>1995</v>
      </c>
      <c r="G1195" s="60" t="s">
        <v>2002</v>
      </c>
      <c r="H1195" s="61" t="s">
        <v>9</v>
      </c>
      <c r="I1195" s="68" t="s">
        <v>1846</v>
      </c>
      <c r="J1195" s="69">
        <v>900</v>
      </c>
      <c r="K1195" s="70" t="s">
        <v>1938</v>
      </c>
      <c r="L1195" s="62">
        <f t="shared" si="3"/>
        <v>4500000</v>
      </c>
      <c r="M1195" s="2"/>
      <c r="O1195" s="2"/>
    </row>
    <row r="1196" spans="1:67" ht="20" x14ac:dyDescent="0.2">
      <c r="A1196" s="14" t="s">
        <v>2986</v>
      </c>
      <c r="B1196" s="14" t="s">
        <v>18</v>
      </c>
      <c r="C1196" s="14">
        <v>2025</v>
      </c>
      <c r="D1196" s="14" t="str">
        <f t="array" ref="D1196">_xlfn.SWITCH(E1196,"Bagor","35.18.14","Sukomoro",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6" s="61" t="s">
        <v>57</v>
      </c>
      <c r="F1196" s="63" t="s">
        <v>1995</v>
      </c>
      <c r="G1196" s="60" t="s">
        <v>2003</v>
      </c>
      <c r="H1196" s="61" t="s">
        <v>9</v>
      </c>
      <c r="I1196" s="68" t="s">
        <v>1846</v>
      </c>
      <c r="J1196" s="69">
        <v>1200</v>
      </c>
      <c r="K1196" s="70" t="s">
        <v>1938</v>
      </c>
      <c r="L1196" s="62">
        <f t="shared" si="3"/>
        <v>6000000</v>
      </c>
      <c r="M1196" s="2"/>
      <c r="O1196" s="2"/>
    </row>
    <row r="1197" spans="1:67" ht="20" x14ac:dyDescent="0.2">
      <c r="A1197" s="14" t="s">
        <v>2986</v>
      </c>
      <c r="B1197" s="14" t="s">
        <v>18</v>
      </c>
      <c r="C1197" s="14">
        <v>2025</v>
      </c>
      <c r="D1197" s="14" t="str">
        <f t="array" ref="D1197">_xlfn.SWITCH(E1197,"Bagor","35.18.14","Sukomoro",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7" s="61" t="s">
        <v>57</v>
      </c>
      <c r="F1197" s="63" t="s">
        <v>1995</v>
      </c>
      <c r="G1197" s="60" t="s">
        <v>2004</v>
      </c>
      <c r="H1197" s="61" t="s">
        <v>9</v>
      </c>
      <c r="I1197" s="68" t="s">
        <v>1846</v>
      </c>
      <c r="J1197" s="69">
        <v>600</v>
      </c>
      <c r="K1197" s="70" t="s">
        <v>1938</v>
      </c>
      <c r="L1197" s="62">
        <f t="shared" si="3"/>
        <v>3000000</v>
      </c>
      <c r="M1197" s="2"/>
      <c r="O1197" s="2"/>
    </row>
    <row r="1198" spans="1:67" ht="20" x14ac:dyDescent="0.2">
      <c r="A1198" s="14" t="s">
        <v>2986</v>
      </c>
      <c r="B1198" s="14" t="s">
        <v>18</v>
      </c>
      <c r="C1198" s="14">
        <v>2025</v>
      </c>
      <c r="D1198" s="14" t="str">
        <f t="array" ref="D1198">_xlfn.SWITCH(E1198,"Bagor","35.18.14","Sukomoro",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8" s="61" t="s">
        <v>57</v>
      </c>
      <c r="F1198" s="63" t="s">
        <v>1995</v>
      </c>
      <c r="G1198" s="60" t="s">
        <v>2005</v>
      </c>
      <c r="H1198" s="61" t="s">
        <v>9</v>
      </c>
      <c r="I1198" s="68" t="s">
        <v>1846</v>
      </c>
      <c r="J1198" s="69">
        <v>600</v>
      </c>
      <c r="K1198" s="70" t="s">
        <v>1938</v>
      </c>
      <c r="L1198" s="62">
        <f t="shared" si="3"/>
        <v>3000000</v>
      </c>
    </row>
    <row r="1199" spans="1:67" x14ac:dyDescent="0.2">
      <c r="A1199" s="14" t="s">
        <v>2986</v>
      </c>
      <c r="B1199" s="14" t="s">
        <v>18</v>
      </c>
      <c r="C1199" s="14">
        <v>2025</v>
      </c>
      <c r="D1199" s="14" t="str">
        <f t="array" ref="D1199">_xlfn.SWITCH(E1199,"Jatikalen","35.18.20","Kertosono", "35.18.08","Lengkong","35.18.19","Loceret","35.18.04","Tanjunganom","35.18.11","Wilangan","35.18.15")</f>
        <v>35.18.19</v>
      </c>
      <c r="E1199" s="61" t="s">
        <v>30</v>
      </c>
      <c r="F1199" s="60" t="s">
        <v>1160</v>
      </c>
      <c r="G1199" s="60" t="s">
        <v>1851</v>
      </c>
      <c r="H1199" s="61" t="s">
        <v>9</v>
      </c>
      <c r="I1199" s="63" t="s">
        <v>993</v>
      </c>
      <c r="J1199" s="62">
        <v>600</v>
      </c>
      <c r="K1199" s="61" t="s">
        <v>994</v>
      </c>
      <c r="L1199" s="64">
        <f t="shared" si="3"/>
        <v>3000000</v>
      </c>
    </row>
    <row r="1200" spans="1:67" s="74" customFormat="1" x14ac:dyDescent="0.2">
      <c r="A1200" s="14" t="s">
        <v>2986</v>
      </c>
      <c r="B1200" s="14" t="s">
        <v>18</v>
      </c>
      <c r="C1200" s="14">
        <v>2025</v>
      </c>
      <c r="D1200" s="14" t="str">
        <f t="array" ref="D1200">_xlfn.SWITCH(E1200,"Jatikalen","35.18.20","Kertosono", "35.18.08","Lengkong","35.18.19","Loceret","35.18.04","Tanjunganom","35.18.11","Wilangan","35.18.15")</f>
        <v>35.18.19</v>
      </c>
      <c r="E1200" s="61" t="s">
        <v>30</v>
      </c>
      <c r="F1200" s="60" t="s">
        <v>1160</v>
      </c>
      <c r="G1200" s="71" t="s">
        <v>1851</v>
      </c>
      <c r="H1200" s="61" t="s">
        <v>9</v>
      </c>
      <c r="I1200" s="63" t="s">
        <v>993</v>
      </c>
      <c r="J1200" s="72">
        <v>900</v>
      </c>
      <c r="K1200" s="70" t="s">
        <v>994</v>
      </c>
      <c r="L1200" s="64">
        <f t="shared" si="3"/>
        <v>4500000</v>
      </c>
      <c r="M1200" s="1"/>
      <c r="N1200" s="2"/>
      <c r="O1200" s="73"/>
      <c r="P1200" s="73"/>
      <c r="Q1200" s="73"/>
      <c r="R1200" s="73"/>
      <c r="S1200" s="73"/>
      <c r="T1200" s="73"/>
      <c r="U1200" s="73"/>
      <c r="V1200" s="73"/>
      <c r="W1200" s="73"/>
      <c r="X1200" s="73"/>
      <c r="Y1200" s="73"/>
      <c r="Z1200" s="73"/>
      <c r="AA1200" s="73"/>
      <c r="AB1200" s="73"/>
      <c r="AC1200" s="73"/>
      <c r="AD1200" s="73"/>
      <c r="AE1200" s="73"/>
      <c r="AF1200" s="73"/>
      <c r="AG1200" s="73"/>
      <c r="AH1200" s="73"/>
      <c r="AI1200" s="73"/>
      <c r="AJ1200" s="73"/>
      <c r="AK1200" s="73"/>
      <c r="AL1200" s="73"/>
      <c r="AM1200" s="73"/>
      <c r="AN1200" s="73"/>
      <c r="AO1200" s="73"/>
      <c r="AP1200" s="73"/>
      <c r="AQ1200" s="73"/>
      <c r="AR1200" s="73"/>
      <c r="AS1200" s="73"/>
      <c r="AT1200" s="73"/>
      <c r="AU1200" s="73"/>
      <c r="AV1200" s="73"/>
      <c r="AW1200" s="73"/>
      <c r="AX1200" s="73"/>
      <c r="AY1200" s="73"/>
      <c r="AZ1200" s="73"/>
      <c r="BA1200" s="73"/>
      <c r="BB1200" s="73"/>
      <c r="BC1200" s="73"/>
      <c r="BD1200" s="73"/>
      <c r="BE1200" s="73"/>
      <c r="BF1200" s="73"/>
      <c r="BG1200" s="73"/>
      <c r="BH1200" s="73"/>
      <c r="BI1200" s="73"/>
      <c r="BJ1200" s="73"/>
      <c r="BK1200" s="73"/>
      <c r="BL1200" s="73"/>
      <c r="BM1200" s="73"/>
      <c r="BN1200" s="73"/>
      <c r="BO1200" s="73"/>
    </row>
    <row r="1201" spans="1:67" s="74" customFormat="1" x14ac:dyDescent="0.2">
      <c r="A1201" s="14" t="s">
        <v>2986</v>
      </c>
      <c r="B1201" s="14" t="s">
        <v>18</v>
      </c>
      <c r="C1201" s="14">
        <v>2025</v>
      </c>
      <c r="D1201" s="14" t="str">
        <f t="array" ref="D1201">_xlfn.SWITCH(E1201,"Jatikalen","35.18.20","Kertosono", "35.18.08","Lengkong","35.18.19","Loceret","35.18.04","Tanjunganom","35.18.11","Wilangan","35.18.15")</f>
        <v>35.18.19</v>
      </c>
      <c r="E1201" s="61" t="s">
        <v>30</v>
      </c>
      <c r="F1201" s="60" t="s">
        <v>1160</v>
      </c>
      <c r="G1201" s="75" t="s">
        <v>1851</v>
      </c>
      <c r="H1201" s="61" t="s">
        <v>9</v>
      </c>
      <c r="I1201" s="63" t="s">
        <v>993</v>
      </c>
      <c r="J1201" s="72">
        <v>300</v>
      </c>
      <c r="K1201" s="70" t="s">
        <v>994</v>
      </c>
      <c r="L1201" s="64">
        <f t="shared" si="3"/>
        <v>1500000</v>
      </c>
      <c r="M1201" s="1"/>
      <c r="N1201" s="2"/>
      <c r="O1201" s="73"/>
      <c r="P1201" s="73"/>
      <c r="Q1201" s="73"/>
      <c r="R1201" s="73"/>
      <c r="S1201" s="73"/>
      <c r="T1201" s="73"/>
      <c r="U1201" s="73"/>
      <c r="V1201" s="73"/>
      <c r="W1201" s="73"/>
      <c r="X1201" s="73"/>
      <c r="Y1201" s="73"/>
      <c r="Z1201" s="73"/>
      <c r="AA1201" s="73"/>
      <c r="AB1201" s="73"/>
      <c r="AC1201" s="73"/>
      <c r="AD1201" s="73"/>
      <c r="AE1201" s="73"/>
      <c r="AF1201" s="73"/>
      <c r="AG1201" s="73"/>
      <c r="AH1201" s="73"/>
      <c r="AI1201" s="73"/>
      <c r="AJ1201" s="73"/>
      <c r="AK1201" s="73"/>
      <c r="AL1201" s="73"/>
      <c r="AM1201" s="73"/>
      <c r="AN1201" s="73"/>
      <c r="AO1201" s="73"/>
      <c r="AP1201" s="73"/>
      <c r="AQ1201" s="73"/>
      <c r="AR1201" s="73"/>
      <c r="AS1201" s="73"/>
      <c r="AT1201" s="73"/>
      <c r="AU1201" s="73"/>
      <c r="AV1201" s="73"/>
      <c r="AW1201" s="73"/>
      <c r="AX1201" s="73"/>
      <c r="AY1201" s="73"/>
      <c r="AZ1201" s="73"/>
      <c r="BA1201" s="73"/>
      <c r="BB1201" s="73"/>
      <c r="BC1201" s="73"/>
      <c r="BD1201" s="73"/>
      <c r="BE1201" s="73"/>
      <c r="BF1201" s="73"/>
      <c r="BG1201" s="73"/>
      <c r="BH1201" s="73"/>
      <c r="BI1201" s="73"/>
      <c r="BJ1201" s="73"/>
      <c r="BK1201" s="73"/>
      <c r="BL1201" s="73"/>
      <c r="BM1201" s="73"/>
      <c r="BN1201" s="73"/>
      <c r="BO1201" s="73"/>
    </row>
    <row r="1202" spans="1:67" s="74" customFormat="1" x14ac:dyDescent="0.2">
      <c r="A1202" s="14" t="s">
        <v>2986</v>
      </c>
      <c r="B1202" s="14" t="s">
        <v>18</v>
      </c>
      <c r="C1202" s="14">
        <v>2025</v>
      </c>
      <c r="D1202" s="14" t="str">
        <f t="array" ref="D1202">_xlfn.SWITCH(E1202,"Jatikalen","35.18.20","Kertosono", "35.18.08","Lengkong","35.18.19","Loceret","35.18.04","Tanjunganom","35.18.11","Wilangan","35.18.15")</f>
        <v>35.18.19</v>
      </c>
      <c r="E1202" s="61" t="s">
        <v>30</v>
      </c>
      <c r="F1202" s="60" t="s">
        <v>1160</v>
      </c>
      <c r="G1202" s="75" t="s">
        <v>1851</v>
      </c>
      <c r="H1202" s="61" t="s">
        <v>9</v>
      </c>
      <c r="I1202" s="63" t="s">
        <v>993</v>
      </c>
      <c r="J1202" s="72">
        <v>600</v>
      </c>
      <c r="K1202" s="70" t="s">
        <v>994</v>
      </c>
      <c r="L1202" s="64">
        <f t="shared" si="3"/>
        <v>3000000</v>
      </c>
      <c r="M1202" s="1"/>
      <c r="N1202" s="2"/>
      <c r="O1202" s="73"/>
      <c r="P1202" s="73"/>
      <c r="Q1202" s="73"/>
      <c r="R1202" s="73"/>
      <c r="S1202" s="73"/>
      <c r="T1202" s="73"/>
      <c r="U1202" s="73"/>
      <c r="V1202" s="73"/>
      <c r="W1202" s="73"/>
      <c r="X1202" s="73"/>
      <c r="Y1202" s="73"/>
      <c r="Z1202" s="73"/>
      <c r="AA1202" s="73"/>
      <c r="AB1202" s="73"/>
      <c r="AC1202" s="73"/>
      <c r="AD1202" s="73"/>
      <c r="AE1202" s="73"/>
      <c r="AF1202" s="73"/>
      <c r="AG1202" s="73"/>
      <c r="AH1202" s="73"/>
      <c r="AI1202" s="73"/>
      <c r="AJ1202" s="73"/>
      <c r="AK1202" s="73"/>
      <c r="AL1202" s="73"/>
      <c r="AM1202" s="73"/>
      <c r="AN1202" s="73"/>
      <c r="AO1202" s="73"/>
      <c r="AP1202" s="73"/>
      <c r="AQ1202" s="73"/>
      <c r="AR1202" s="73"/>
      <c r="AS1202" s="73"/>
      <c r="AT1202" s="73"/>
      <c r="AU1202" s="73"/>
      <c r="AV1202" s="73"/>
      <c r="AW1202" s="73"/>
      <c r="AX1202" s="73"/>
      <c r="AY1202" s="73"/>
      <c r="AZ1202" s="73"/>
      <c r="BA1202" s="73"/>
      <c r="BB1202" s="73"/>
      <c r="BC1202" s="73"/>
      <c r="BD1202" s="73"/>
      <c r="BE1202" s="73"/>
      <c r="BF1202" s="73"/>
      <c r="BG1202" s="73"/>
      <c r="BH1202" s="73"/>
      <c r="BI1202" s="73"/>
      <c r="BJ1202" s="73"/>
      <c r="BK1202" s="73"/>
      <c r="BL1202" s="73"/>
      <c r="BM1202" s="73"/>
      <c r="BN1202" s="73"/>
      <c r="BO1202" s="73"/>
    </row>
    <row r="1203" spans="1:67" ht="20" x14ac:dyDescent="0.2">
      <c r="A1203" s="14" t="s">
        <v>2986</v>
      </c>
      <c r="B1203" s="14" t="s">
        <v>18</v>
      </c>
      <c r="C1203" s="14">
        <v>2025</v>
      </c>
      <c r="D1203" s="14" t="str">
        <f t="array" ref="D1203">_xlfn.SWITCH(E1203,"Jatikalen","35.18.20","Kertosono", "35.18.08","Lengkong","35.18.19","Loceret","35.18.04","Tanjunganom","35.18.11","Wilangan","35.18.15")</f>
        <v>35.18.04</v>
      </c>
      <c r="E1203" s="77" t="s">
        <v>15</v>
      </c>
      <c r="F1203" s="76" t="s">
        <v>2006</v>
      </c>
      <c r="G1203" s="76" t="s">
        <v>2007</v>
      </c>
      <c r="H1203" s="77" t="s">
        <v>43</v>
      </c>
      <c r="I1203" s="76" t="s">
        <v>1814</v>
      </c>
      <c r="J1203" s="64">
        <v>3000</v>
      </c>
      <c r="K1203" s="77" t="s">
        <v>217</v>
      </c>
      <c r="L1203" s="64">
        <f>J1203*20000*10</f>
        <v>600000000</v>
      </c>
    </row>
    <row r="1204" spans="1:67" x14ac:dyDescent="0.2">
      <c r="A1204" s="14" t="s">
        <v>2986</v>
      </c>
      <c r="B1204" s="14" t="s">
        <v>18</v>
      </c>
      <c r="C1204" s="14">
        <v>2025</v>
      </c>
      <c r="D1204" s="14" t="str">
        <f t="array" ref="D1204">_xlfn.SWITCH(E1204,"Bagor","35.18.14","Sukomoro",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04" s="67" t="s">
        <v>72</v>
      </c>
      <c r="F1204" s="68" t="s">
        <v>2008</v>
      </c>
      <c r="G1204" s="75" t="s">
        <v>2009</v>
      </c>
      <c r="H1204" s="67" t="s">
        <v>9</v>
      </c>
      <c r="I1204" s="68" t="s">
        <v>2010</v>
      </c>
      <c r="J1204" s="64">
        <v>1200</v>
      </c>
      <c r="K1204" s="67" t="s">
        <v>217</v>
      </c>
      <c r="L1204" s="64">
        <f>J1204*40000</f>
        <v>48000000</v>
      </c>
      <c r="O1204" s="2"/>
    </row>
    <row r="1205" spans="1:67" x14ac:dyDescent="0.2">
      <c r="A1205" s="14" t="s">
        <v>2986</v>
      </c>
      <c r="B1205" s="14" t="s">
        <v>18</v>
      </c>
      <c r="C1205" s="14">
        <v>2025</v>
      </c>
      <c r="D1205" s="14" t="str">
        <f t="array" ref="D1205">_xlfn.SWITCH(E1205,"Jatikalen","35.18.20","Kertosono", "35.18.08","Lengkong","35.18.19","Loceret","35.18.04","Tanjunganom","35.18.11","Wilangan","35.18.15")</f>
        <v>35.18.04</v>
      </c>
      <c r="E1205" s="61" t="s">
        <v>15</v>
      </c>
      <c r="F1205" s="60" t="s">
        <v>1072</v>
      </c>
      <c r="G1205" s="75" t="s">
        <v>2011</v>
      </c>
      <c r="H1205" s="67" t="s">
        <v>9</v>
      </c>
      <c r="I1205" s="63" t="s">
        <v>2012</v>
      </c>
      <c r="J1205" s="62">
        <v>5000</v>
      </c>
      <c r="K1205" s="61" t="s">
        <v>217</v>
      </c>
      <c r="L1205" s="64">
        <f>J1205*150000</f>
        <v>750000000</v>
      </c>
    </row>
    <row r="1206" spans="1:67" x14ac:dyDescent="0.2">
      <c r="A1206" s="14" t="s">
        <v>2986</v>
      </c>
      <c r="B1206" s="14" t="s">
        <v>18</v>
      </c>
      <c r="C1206" s="14">
        <v>2025</v>
      </c>
      <c r="D1206" s="14" t="str">
        <f t="array" ref="D1206">_xlfn.SWITCH(E1206,"Bagor","35.18.14","Sukomoro",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6" s="61" t="s">
        <v>18</v>
      </c>
      <c r="F1206" s="60" t="s">
        <v>2013</v>
      </c>
      <c r="G1206" s="75" t="s">
        <v>2014</v>
      </c>
      <c r="H1206" s="67" t="s">
        <v>9</v>
      </c>
      <c r="I1206" s="63" t="s">
        <v>2010</v>
      </c>
      <c r="J1206" s="62">
        <v>200</v>
      </c>
      <c r="K1206" s="61" t="s">
        <v>217</v>
      </c>
      <c r="L1206" s="64">
        <f>J1206*55000</f>
        <v>11000000</v>
      </c>
    </row>
    <row r="1207" spans="1:67" x14ac:dyDescent="0.2">
      <c r="A1207" s="14" t="s">
        <v>2986</v>
      </c>
      <c r="B1207" s="14" t="s">
        <v>18</v>
      </c>
      <c r="C1207" s="14">
        <v>2025</v>
      </c>
      <c r="D1207" s="14" t="str">
        <f t="array" ref="D1207">_xlfn.SWITCH(E1207,"Bagor","35.18.14","Sukomoro",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7" s="61" t="s">
        <v>18</v>
      </c>
      <c r="F1207" s="60" t="s">
        <v>2015</v>
      </c>
      <c r="G1207" s="75" t="s">
        <v>2016</v>
      </c>
      <c r="H1207" s="67" t="s">
        <v>9</v>
      </c>
      <c r="I1207" s="63" t="s">
        <v>2017</v>
      </c>
      <c r="J1207" s="62">
        <v>500</v>
      </c>
      <c r="K1207" s="61" t="s">
        <v>217</v>
      </c>
      <c r="L1207" s="64">
        <f>J1207*75000</f>
        <v>37500000</v>
      </c>
    </row>
    <row r="1208" spans="1:67" ht="20" x14ac:dyDescent="0.2">
      <c r="A1208" s="14" t="s">
        <v>2986</v>
      </c>
      <c r="B1208" s="14" t="s">
        <v>18</v>
      </c>
      <c r="C1208" s="14">
        <v>2025</v>
      </c>
      <c r="D1208" s="14" t="str">
        <f t="array" ref="D1208">_xlfn.SWITCH(E1208,"Jatikalen","35.18.20","Kertosono", "35.18.08","Lengkong","35.18.19","Loceret","35.18.04","Tanjunganom","35.18.11","Wilangan","35.18.15")</f>
        <v>35.18.04</v>
      </c>
      <c r="E1208" s="61" t="s">
        <v>15</v>
      </c>
      <c r="F1208" s="60" t="s">
        <v>2018</v>
      </c>
      <c r="G1208" s="75" t="s">
        <v>2019</v>
      </c>
      <c r="H1208" s="67" t="s">
        <v>9</v>
      </c>
      <c r="I1208" s="63" t="s">
        <v>2020</v>
      </c>
      <c r="J1208" s="62">
        <v>450</v>
      </c>
      <c r="K1208" s="61" t="s">
        <v>217</v>
      </c>
      <c r="L1208" s="64">
        <f>J1208*18000*10</f>
        <v>81000000</v>
      </c>
    </row>
    <row r="1209" spans="1:67" ht="20" x14ac:dyDescent="0.2">
      <c r="A1209" s="14" t="s">
        <v>2986</v>
      </c>
      <c r="B1209" s="14" t="s">
        <v>18</v>
      </c>
      <c r="C1209" s="14">
        <v>2025</v>
      </c>
      <c r="D1209" s="14" t="str">
        <f t="array" ref="D1209">_xlfn.SWITCH(E1209,"Bagor","35.18.14","Sukomoro",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9" s="61" t="s">
        <v>18</v>
      </c>
      <c r="F1209" s="60" t="s">
        <v>2021</v>
      </c>
      <c r="G1209" s="75" t="s">
        <v>2022</v>
      </c>
      <c r="H1209" s="67" t="s">
        <v>9</v>
      </c>
      <c r="I1209" s="63" t="s">
        <v>2023</v>
      </c>
      <c r="J1209" s="62">
        <v>250</v>
      </c>
      <c r="K1209" s="61" t="s">
        <v>217</v>
      </c>
      <c r="L1209" s="64">
        <f>J1209*60000</f>
        <v>15000000</v>
      </c>
    </row>
    <row r="1210" spans="1:67" ht="20" x14ac:dyDescent="0.2">
      <c r="A1210" s="14" t="s">
        <v>2986</v>
      </c>
      <c r="B1210" s="14" t="s">
        <v>18</v>
      </c>
      <c r="C1210" s="14">
        <v>2025</v>
      </c>
      <c r="D1210" s="14" t="str">
        <f t="array" ref="D1210">_xlfn.SWITCH(E1210,"Bagor","35.18.14","Sukomoro",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0" s="61" t="s">
        <v>18</v>
      </c>
      <c r="F1210" s="60" t="s">
        <v>2024</v>
      </c>
      <c r="G1210" s="75" t="s">
        <v>2025</v>
      </c>
      <c r="H1210" s="67" t="s">
        <v>9</v>
      </c>
      <c r="I1210" s="63" t="s">
        <v>2026</v>
      </c>
      <c r="J1210" s="62">
        <v>500</v>
      </c>
      <c r="K1210" s="61" t="s">
        <v>217</v>
      </c>
      <c r="L1210" s="64">
        <f>J1210*20000</f>
        <v>10000000</v>
      </c>
    </row>
    <row r="1211" spans="1:67" ht="20" x14ac:dyDescent="0.2">
      <c r="A1211" s="14" t="s">
        <v>2986</v>
      </c>
      <c r="B1211" s="14" t="s">
        <v>18</v>
      </c>
      <c r="C1211" s="14">
        <v>2025</v>
      </c>
      <c r="D1211" s="14" t="str">
        <f t="array" ref="D1211">_xlfn.SWITCH(E1211,"Jatikalen","35.18.20","Kertosono", "35.18.08","Lengkong","35.18.19","Loceret","35.18.04","Tanjunganom","35.18.11","Wilangan","35.18.15")</f>
        <v>35.18.04</v>
      </c>
      <c r="E1211" s="61" t="s">
        <v>15</v>
      </c>
      <c r="F1211" s="60" t="s">
        <v>1710</v>
      </c>
      <c r="G1211" s="60" t="s">
        <v>2027</v>
      </c>
      <c r="H1211" s="67" t="s">
        <v>9</v>
      </c>
      <c r="I1211" s="63" t="s">
        <v>2028</v>
      </c>
      <c r="J1211" s="62">
        <v>750</v>
      </c>
      <c r="K1211" s="61" t="s">
        <v>22</v>
      </c>
      <c r="L1211" s="64">
        <f>J1211*15000</f>
        <v>11250000</v>
      </c>
    </row>
    <row r="1212" spans="1:67" ht="20" x14ac:dyDescent="0.2">
      <c r="A1212" s="14" t="s">
        <v>2986</v>
      </c>
      <c r="B1212" s="14" t="s">
        <v>18</v>
      </c>
      <c r="C1212" s="14">
        <v>2025</v>
      </c>
      <c r="D1212" s="14" t="str">
        <f t="array" ref="D1212">_xlfn.SWITCH(E1212,"Bagor","35.18.14","Sukomoro",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2" s="61" t="s">
        <v>18</v>
      </c>
      <c r="F1212" s="60" t="s">
        <v>2029</v>
      </c>
      <c r="G1212" s="60" t="s">
        <v>2030</v>
      </c>
      <c r="H1212" s="67" t="s">
        <v>9</v>
      </c>
      <c r="I1212" s="63" t="s">
        <v>1959</v>
      </c>
      <c r="J1212" s="62">
        <v>500</v>
      </c>
      <c r="K1212" s="61" t="s">
        <v>217</v>
      </c>
      <c r="L1212" s="64">
        <f>J1212*35000</f>
        <v>17500000</v>
      </c>
    </row>
    <row r="1213" spans="1:67" x14ac:dyDescent="0.2">
      <c r="A1213" s="14" t="s">
        <v>2986</v>
      </c>
      <c r="B1213" s="14" t="s">
        <v>18</v>
      </c>
      <c r="C1213" s="14">
        <v>2025</v>
      </c>
      <c r="D1213" s="14" t="str">
        <f t="array" ref="D1213">_xlfn.SWITCH(E1213,"Bagor","35.18.14","Sukomoro",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3" s="61" t="s">
        <v>18</v>
      </c>
      <c r="F1213" s="60" t="s">
        <v>2031</v>
      </c>
      <c r="G1213" s="60" t="s">
        <v>2032</v>
      </c>
      <c r="H1213" s="67" t="s">
        <v>9</v>
      </c>
      <c r="I1213" s="63" t="s">
        <v>1608</v>
      </c>
      <c r="J1213" s="62">
        <v>5000</v>
      </c>
      <c r="K1213" s="61" t="s">
        <v>22</v>
      </c>
      <c r="L1213" s="64">
        <f>J1213*2500</f>
        <v>12500000</v>
      </c>
    </row>
    <row r="1214" spans="1:67" x14ac:dyDescent="0.2">
      <c r="A1214" s="14" t="s">
        <v>2986</v>
      </c>
      <c r="B1214" s="14" t="s">
        <v>18</v>
      </c>
      <c r="C1214" s="14">
        <v>2025</v>
      </c>
      <c r="D1214" s="14" t="str">
        <f t="array" ref="D1214">_xlfn.SWITCH(E1214,"Bagor","35.18.14","Sukomoro",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4" s="61" t="s">
        <v>18</v>
      </c>
      <c r="F1214" s="60" t="s">
        <v>1870</v>
      </c>
      <c r="G1214" s="60" t="s">
        <v>2033</v>
      </c>
      <c r="H1214" s="67" t="s">
        <v>9</v>
      </c>
      <c r="I1214" s="63" t="s">
        <v>1025</v>
      </c>
      <c r="J1214" s="62">
        <v>1000</v>
      </c>
      <c r="K1214" s="61" t="s">
        <v>2034</v>
      </c>
      <c r="L1214" s="64">
        <f>J1214*2500</f>
        <v>2500000</v>
      </c>
    </row>
    <row r="1215" spans="1:67" ht="20" x14ac:dyDescent="0.2">
      <c r="A1215" s="14" t="s">
        <v>2986</v>
      </c>
      <c r="B1215" s="14" t="s">
        <v>18</v>
      </c>
      <c r="C1215" s="14">
        <v>2025</v>
      </c>
      <c r="D1215" s="14" t="str">
        <f t="array" ref="D1215">_xlfn.SWITCH(E1215,"Jatikalen","35.18.20","Kertosono", "35.18.08","Lengkong","35.18.19","Loceret","35.18.04","Tanjunganom","35.18.11","Wilangan","35.18.15")</f>
        <v>35.18.04</v>
      </c>
      <c r="E1215" s="61" t="s">
        <v>15</v>
      </c>
      <c r="F1215" s="60" t="s">
        <v>2018</v>
      </c>
      <c r="G1215" s="60" t="s">
        <v>2035</v>
      </c>
      <c r="H1215" s="67" t="s">
        <v>9</v>
      </c>
      <c r="I1215" s="63" t="s">
        <v>2036</v>
      </c>
      <c r="J1215" s="62">
        <v>10000</v>
      </c>
      <c r="K1215" s="61" t="s">
        <v>217</v>
      </c>
      <c r="L1215" s="64">
        <f>J1215*30000</f>
        <v>300000000</v>
      </c>
    </row>
    <row r="1216" spans="1:67" x14ac:dyDescent="0.2">
      <c r="A1216" s="14" t="s">
        <v>2986</v>
      </c>
      <c r="B1216" s="14" t="s">
        <v>18</v>
      </c>
      <c r="C1216" s="14">
        <v>2025</v>
      </c>
      <c r="D1216" s="14" t="str">
        <f t="array" ref="D1216">_xlfn.SWITCH(E1216,"Jatikalen","35.18.20","Kertosono", "35.18.08","Lengkong","35.18.19","Loceret","35.18.04","Tanjunganom","35.18.11","Wilangan","35.18.15")</f>
        <v>35.18.04</v>
      </c>
      <c r="E1216" s="61" t="s">
        <v>15</v>
      </c>
      <c r="F1216" s="60" t="s">
        <v>1072</v>
      </c>
      <c r="G1216" s="60" t="s">
        <v>2037</v>
      </c>
      <c r="H1216" s="67" t="s">
        <v>9</v>
      </c>
      <c r="I1216" s="63" t="s">
        <v>1608</v>
      </c>
      <c r="J1216" s="62">
        <v>2500</v>
      </c>
      <c r="K1216" s="61" t="s">
        <v>22</v>
      </c>
      <c r="L1216" s="64">
        <f>J1216*2000</f>
        <v>5000000</v>
      </c>
    </row>
    <row r="1217" spans="1:67" x14ac:dyDescent="0.2">
      <c r="A1217" s="14" t="s">
        <v>2986</v>
      </c>
      <c r="B1217" s="14" t="s">
        <v>18</v>
      </c>
      <c r="C1217" s="14">
        <v>2025</v>
      </c>
      <c r="D1217" s="14" t="str">
        <f t="array" ref="D1217">_xlfn.SWITCH(E1217,"Jatikalen","35.18.20","Kertosono", "35.18.08","Lengkong","35.18.19","Loceret","35.18.04","Tanjunganom","35.18.11","Wilangan","35.18.15")</f>
        <v>35.18.08</v>
      </c>
      <c r="E1217" s="61" t="s">
        <v>75</v>
      </c>
      <c r="F1217" s="60" t="s">
        <v>2038</v>
      </c>
      <c r="G1217" s="60" t="s">
        <v>2039</v>
      </c>
      <c r="H1217" s="67" t="s">
        <v>9</v>
      </c>
      <c r="I1217" s="63" t="s">
        <v>2040</v>
      </c>
      <c r="J1217" s="62">
        <v>5000</v>
      </c>
      <c r="K1217" s="61" t="s">
        <v>22</v>
      </c>
      <c r="L1217" s="64">
        <f>J1217*7500</f>
        <v>37500000</v>
      </c>
    </row>
    <row r="1218" spans="1:67" ht="30" x14ac:dyDescent="0.2">
      <c r="A1218" s="14" t="s">
        <v>2986</v>
      </c>
      <c r="B1218" s="14" t="s">
        <v>18</v>
      </c>
      <c r="C1218" s="14">
        <v>2025</v>
      </c>
      <c r="D1218" s="14" t="str">
        <f t="array" ref="D1218">_xlfn.SWITCH(E1218,"Bagor","35.18.14","Sukomoro",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8" s="13" t="s">
        <v>18</v>
      </c>
      <c r="F1218" s="14" t="s">
        <v>2041</v>
      </c>
      <c r="G1218" s="78" t="s">
        <v>2042</v>
      </c>
      <c r="H1218" s="67" t="s">
        <v>9</v>
      </c>
      <c r="I1218" s="14" t="s">
        <v>2043</v>
      </c>
      <c r="J1218" s="79">
        <v>10000</v>
      </c>
      <c r="K1218" s="79" t="s">
        <v>1186</v>
      </c>
      <c r="L1218" s="79">
        <v>30000000</v>
      </c>
    </row>
    <row r="1219" spans="1:67" ht="20" x14ac:dyDescent="0.2">
      <c r="A1219" s="14" t="s">
        <v>2986</v>
      </c>
      <c r="B1219" s="14" t="s">
        <v>18</v>
      </c>
      <c r="C1219" s="14">
        <v>2025</v>
      </c>
      <c r="D1219" s="14" t="str">
        <f t="array" ref="D1219">_xlfn.SWITCH(E1219,"Bagor","35.18.14","Sukomoro",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19" s="13" t="s">
        <v>1902</v>
      </c>
      <c r="F1219" s="14" t="s">
        <v>2044</v>
      </c>
      <c r="G1219" s="78" t="s">
        <v>2045</v>
      </c>
      <c r="H1219" s="67" t="s">
        <v>9</v>
      </c>
      <c r="I1219" s="14" t="s">
        <v>2046</v>
      </c>
      <c r="J1219" s="62">
        <v>5000</v>
      </c>
      <c r="K1219" s="61" t="s">
        <v>22</v>
      </c>
      <c r="L1219" s="64">
        <f>J1219*2500</f>
        <v>12500000</v>
      </c>
    </row>
    <row r="1220" spans="1:67" s="1" customFormat="1" ht="20" x14ac:dyDescent="0.2">
      <c r="A1220" s="14" t="s">
        <v>2986</v>
      </c>
      <c r="B1220" s="14" t="s">
        <v>18</v>
      </c>
      <c r="C1220" s="14">
        <v>2025</v>
      </c>
      <c r="D1220" s="14" t="str">
        <f t="array" ref="D1220">_xlfn.SWITCH(E1220,"Jatikalen","35.18.20","Kertosono", "35.18.08","Lengkong","35.18.19","Loceret","35.18.04","Tanjunganom","35.18.11","Wilangan","35.18.15")</f>
        <v>35.18.11</v>
      </c>
      <c r="E1220" s="13" t="s">
        <v>27</v>
      </c>
      <c r="F1220" s="14" t="s">
        <v>2047</v>
      </c>
      <c r="G1220" s="14" t="s">
        <v>2048</v>
      </c>
      <c r="H1220" s="67" t="s">
        <v>9</v>
      </c>
      <c r="I1220" s="63" t="s">
        <v>2049</v>
      </c>
      <c r="J1220" s="62">
        <f>15*25*12</f>
        <v>4500</v>
      </c>
      <c r="K1220" s="61" t="s">
        <v>700</v>
      </c>
      <c r="L1220" s="64">
        <v>60000000</v>
      </c>
      <c r="N1220" s="2"/>
      <c r="O1220" s="3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</row>
    <row r="1221" spans="1:67" s="1" customFormat="1" x14ac:dyDescent="0.2">
      <c r="A1221" s="14" t="s">
        <v>2986</v>
      </c>
      <c r="B1221" s="14" t="s">
        <v>18</v>
      </c>
      <c r="C1221" s="14">
        <v>2025</v>
      </c>
      <c r="D1221" s="14" t="str">
        <f t="array" ref="D1221">_xlfn.SWITCH(E1221,"Bagor","35.18.14","Sukomoro",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21" s="13" t="s">
        <v>72</v>
      </c>
      <c r="F1221" s="14" t="s">
        <v>2050</v>
      </c>
      <c r="G1221" s="14" t="s">
        <v>2051</v>
      </c>
      <c r="H1221" s="67" t="s">
        <v>9</v>
      </c>
      <c r="I1221" s="63" t="s">
        <v>1608</v>
      </c>
      <c r="J1221" s="62">
        <v>2500</v>
      </c>
      <c r="K1221" s="61" t="s">
        <v>22</v>
      </c>
      <c r="L1221" s="64">
        <f>J1221*2000</f>
        <v>5000000</v>
      </c>
      <c r="N1221" s="2"/>
      <c r="O1221" s="3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</row>
    <row r="1222" spans="1:67" s="1" customFormat="1" ht="20" x14ac:dyDescent="0.2">
      <c r="A1222" s="14" t="s">
        <v>2986</v>
      </c>
      <c r="B1222" s="14" t="s">
        <v>18</v>
      </c>
      <c r="C1222" s="14">
        <v>2025</v>
      </c>
      <c r="D1222" s="14" t="str">
        <f t="array" ref="D1222">_xlfn.SWITCH(E1222,"Bagor","35.18.14","Sukomoro",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22" s="13" t="s">
        <v>119</v>
      </c>
      <c r="F1222" s="14" t="s">
        <v>2052</v>
      </c>
      <c r="G1222" s="14" t="s">
        <v>2053</v>
      </c>
      <c r="H1222" s="67" t="s">
        <v>9</v>
      </c>
      <c r="I1222" s="14" t="s">
        <v>2054</v>
      </c>
      <c r="J1222" s="62">
        <v>250</v>
      </c>
      <c r="K1222" s="61" t="s">
        <v>217</v>
      </c>
      <c r="L1222" s="64">
        <f>J1222*60000</f>
        <v>15000000</v>
      </c>
      <c r="N1222" s="2"/>
      <c r="O1222" s="3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</row>
    <row r="1223" spans="1:67" s="1" customFormat="1" x14ac:dyDescent="0.2">
      <c r="A1223" s="14" t="s">
        <v>2986</v>
      </c>
      <c r="B1223" s="14" t="s">
        <v>18</v>
      </c>
      <c r="C1223" s="14">
        <v>2025</v>
      </c>
      <c r="D1223" s="14" t="str">
        <f t="array" ref="D1223">_xlfn.SWITCH(E1223,"Bagor","35.18.14","Sukomoro",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3" s="13" t="s">
        <v>18</v>
      </c>
      <c r="F1223" s="14" t="s">
        <v>2055</v>
      </c>
      <c r="G1223" s="14" t="s">
        <v>2056</v>
      </c>
      <c r="H1223" s="67" t="s">
        <v>9</v>
      </c>
      <c r="I1223" s="14" t="s">
        <v>2046</v>
      </c>
      <c r="J1223" s="62">
        <v>5000</v>
      </c>
      <c r="K1223" s="61" t="s">
        <v>22</v>
      </c>
      <c r="L1223" s="64">
        <f>J1223*2500</f>
        <v>12500000</v>
      </c>
      <c r="N1223" s="2"/>
      <c r="O1223" s="3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</row>
    <row r="1224" spans="1:67" s="1" customFormat="1" ht="20" x14ac:dyDescent="0.2">
      <c r="A1224" s="14" t="s">
        <v>2986</v>
      </c>
      <c r="B1224" s="14" t="s">
        <v>18</v>
      </c>
      <c r="C1224" s="14">
        <v>2025</v>
      </c>
      <c r="D1224" s="14" t="str">
        <f t="array" ref="D1224">_xlfn.SWITCH(E1224,"Bagor","35.18.14","Sukomoro",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4" s="13" t="s">
        <v>102</v>
      </c>
      <c r="F1224" s="14" t="s">
        <v>2057</v>
      </c>
      <c r="G1224" s="14" t="s">
        <v>2058</v>
      </c>
      <c r="H1224" s="67" t="s">
        <v>9</v>
      </c>
      <c r="I1224" s="14" t="s">
        <v>2046</v>
      </c>
      <c r="J1224" s="62">
        <v>5000</v>
      </c>
      <c r="K1224" s="61" t="s">
        <v>22</v>
      </c>
      <c r="L1224" s="64">
        <f>J1224*2500</f>
        <v>12500000</v>
      </c>
      <c r="N1224" s="2"/>
      <c r="O1224" s="3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</row>
    <row r="1225" spans="1:67" s="1" customFormat="1" ht="20" x14ac:dyDescent="0.2">
      <c r="A1225" s="14" t="s">
        <v>2986</v>
      </c>
      <c r="B1225" s="14" t="s">
        <v>18</v>
      </c>
      <c r="C1225" s="14">
        <v>2025</v>
      </c>
      <c r="D1225" s="14" t="str">
        <f t="array" ref="D1225">_xlfn.SWITCH(E1225,"Jatikalen","35.18.20","Kertosono", "35.18.08","Lengkong","35.18.19","Loceret","35.18.04","Tanjunganom","35.18.11","Wilangan","35.18.15")</f>
        <v>35.18.04</v>
      </c>
      <c r="E1225" s="13" t="s">
        <v>15</v>
      </c>
      <c r="F1225" s="14" t="s">
        <v>2059</v>
      </c>
      <c r="G1225" s="14" t="s">
        <v>2060</v>
      </c>
      <c r="H1225" s="67" t="s">
        <v>9</v>
      </c>
      <c r="I1225" s="14" t="s">
        <v>1071</v>
      </c>
      <c r="J1225" s="15">
        <f>10*25*12</f>
        <v>3000</v>
      </c>
      <c r="K1225" s="13" t="s">
        <v>700</v>
      </c>
      <c r="L1225" s="22">
        <v>45000000</v>
      </c>
      <c r="N1225" s="2"/>
      <c r="O1225" s="3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</row>
    <row r="1226" spans="1:67" s="1" customFormat="1" ht="20" x14ac:dyDescent="0.2">
      <c r="A1226" s="14" t="s">
        <v>2986</v>
      </c>
      <c r="B1226" s="14" t="s">
        <v>18</v>
      </c>
      <c r="C1226" s="14">
        <v>2025</v>
      </c>
      <c r="D1226" s="14" t="str">
        <f t="array" ref="D1226">_xlfn.SWITCH(E1226,"Jatikalen","35.18.20","Kertosono", "35.18.08","Lengkong","35.18.19","Loceret","35.18.04","Tanjunganom","35.18.11","Wilangan","35.18.15")</f>
        <v>35.18.11</v>
      </c>
      <c r="E1226" s="13" t="s">
        <v>27</v>
      </c>
      <c r="F1226" s="14" t="s">
        <v>2061</v>
      </c>
      <c r="G1226" s="14" t="s">
        <v>2062</v>
      </c>
      <c r="H1226" s="67" t="s">
        <v>9</v>
      </c>
      <c r="I1226" s="14" t="s">
        <v>2046</v>
      </c>
      <c r="J1226" s="62">
        <v>15000</v>
      </c>
      <c r="K1226" s="61" t="s">
        <v>700</v>
      </c>
      <c r="L1226" s="64">
        <v>75000000</v>
      </c>
      <c r="N1226" s="2"/>
      <c r="O1226" s="3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</row>
    <row r="1227" spans="1:67" s="1" customFormat="1" ht="20" x14ac:dyDescent="0.2">
      <c r="A1227" s="14" t="s">
        <v>2986</v>
      </c>
      <c r="B1227" s="14" t="s">
        <v>18</v>
      </c>
      <c r="C1227" s="14">
        <v>2025</v>
      </c>
      <c r="D1227" s="14" t="str">
        <f t="array" ref="D1227">_xlfn.SWITCH(E1227,"Bagor","35.18.14","Sukomoro",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7" s="13" t="s">
        <v>102</v>
      </c>
      <c r="F1227" s="14" t="s">
        <v>2063</v>
      </c>
      <c r="G1227" s="14" t="s">
        <v>2064</v>
      </c>
      <c r="H1227" s="67" t="s">
        <v>9</v>
      </c>
      <c r="I1227" s="14" t="s">
        <v>2065</v>
      </c>
      <c r="J1227" s="49">
        <v>10080</v>
      </c>
      <c r="K1227" s="13" t="s">
        <v>700</v>
      </c>
      <c r="L1227" s="48">
        <v>40320000</v>
      </c>
      <c r="N1227" s="2"/>
      <c r="O1227" s="3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</row>
    <row r="1228" spans="1:67" s="1" customFormat="1" ht="20" x14ac:dyDescent="0.2">
      <c r="A1228" s="14" t="s">
        <v>2986</v>
      </c>
      <c r="B1228" s="14" t="s">
        <v>18</v>
      </c>
      <c r="C1228" s="14">
        <v>2025</v>
      </c>
      <c r="D1228" s="14" t="str">
        <f t="array" ref="D1228">_xlfn.SWITCH(E1228,"Bagor","35.18.14","Sukomoro",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8" s="13" t="s">
        <v>102</v>
      </c>
      <c r="F1228" s="14" t="s">
        <v>2066</v>
      </c>
      <c r="G1228" s="14" t="s">
        <v>2067</v>
      </c>
      <c r="H1228" s="67" t="s">
        <v>9</v>
      </c>
      <c r="I1228" s="14" t="s">
        <v>2065</v>
      </c>
      <c r="J1228" s="49">
        <v>10080</v>
      </c>
      <c r="K1228" s="13" t="s">
        <v>700</v>
      </c>
      <c r="L1228" s="48">
        <v>40320001</v>
      </c>
      <c r="N1228" s="2"/>
      <c r="O1228" s="3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</row>
    <row r="1229" spans="1:67" s="1" customFormat="1" ht="20" x14ac:dyDescent="0.2">
      <c r="A1229" s="14" t="s">
        <v>2986</v>
      </c>
      <c r="B1229" s="14" t="s">
        <v>18</v>
      </c>
      <c r="C1229" s="14">
        <v>2025</v>
      </c>
      <c r="D1229" s="14" t="str">
        <f t="array" ref="D1229">_xlfn.SWITCH(E1229,"Bagor","35.18.14","Sukomoro",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9" s="13" t="s">
        <v>102</v>
      </c>
      <c r="F1229" s="14" t="s">
        <v>2063</v>
      </c>
      <c r="G1229" s="14" t="s">
        <v>2068</v>
      </c>
      <c r="H1229" s="67" t="s">
        <v>9</v>
      </c>
      <c r="I1229" s="14" t="s">
        <v>2065</v>
      </c>
      <c r="J1229" s="49">
        <v>10080</v>
      </c>
      <c r="K1229" s="13" t="s">
        <v>700</v>
      </c>
      <c r="L1229" s="48">
        <v>40320002</v>
      </c>
      <c r="N1229" s="2"/>
      <c r="O1229" s="3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</row>
    <row r="1230" spans="1:67" s="1" customFormat="1" ht="20" x14ac:dyDescent="0.2">
      <c r="A1230" s="14" t="s">
        <v>2986</v>
      </c>
      <c r="B1230" s="14" t="s">
        <v>18</v>
      </c>
      <c r="C1230" s="14">
        <v>2025</v>
      </c>
      <c r="D1230" s="14" t="str">
        <f t="array" ref="D1230">_xlfn.SWITCH(E1230,"Bagor","35.18.14","Sukomoro",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0" s="13" t="s">
        <v>102</v>
      </c>
      <c r="F1230" s="14" t="s">
        <v>2069</v>
      </c>
      <c r="G1230" s="14" t="s">
        <v>2070</v>
      </c>
      <c r="H1230" s="67" t="s">
        <v>9</v>
      </c>
      <c r="I1230" s="14" t="s">
        <v>2065</v>
      </c>
      <c r="J1230" s="49">
        <v>10080</v>
      </c>
      <c r="K1230" s="13" t="s">
        <v>700</v>
      </c>
      <c r="L1230" s="48">
        <v>40320003</v>
      </c>
      <c r="N1230" s="2"/>
      <c r="O1230" s="3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</row>
    <row r="1231" spans="1:67" s="1" customFormat="1" ht="20" x14ac:dyDescent="0.2">
      <c r="A1231" s="14" t="s">
        <v>2986</v>
      </c>
      <c r="B1231" s="14" t="s">
        <v>18</v>
      </c>
      <c r="C1231" s="14">
        <v>2025</v>
      </c>
      <c r="D1231" s="14" t="str">
        <f t="array" ref="D1231">_xlfn.SWITCH(E1231,"Bagor","35.18.14","Sukomoro",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1" s="13" t="s">
        <v>102</v>
      </c>
      <c r="F1231" s="14" t="s">
        <v>2071</v>
      </c>
      <c r="G1231" s="14" t="s">
        <v>2072</v>
      </c>
      <c r="H1231" s="67" t="s">
        <v>9</v>
      </c>
      <c r="I1231" s="14" t="s">
        <v>2065</v>
      </c>
      <c r="J1231" s="49">
        <v>10080</v>
      </c>
      <c r="K1231" s="13" t="s">
        <v>700</v>
      </c>
      <c r="L1231" s="48">
        <v>40320004</v>
      </c>
      <c r="N1231" s="2"/>
      <c r="O1231" s="3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</row>
    <row r="1232" spans="1:67" s="1" customFormat="1" ht="20" x14ac:dyDescent="0.2">
      <c r="A1232" s="14" t="s">
        <v>2986</v>
      </c>
      <c r="B1232" s="14" t="s">
        <v>18</v>
      </c>
      <c r="C1232" s="14">
        <v>2025</v>
      </c>
      <c r="D1232" s="14" t="str">
        <f t="array" ref="D1232">_xlfn.SWITCH(E1232,"Bagor","35.18.14","Sukomoro",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2" s="13" t="s">
        <v>102</v>
      </c>
      <c r="F1232" s="14" t="s">
        <v>2071</v>
      </c>
      <c r="G1232" s="14" t="s">
        <v>2073</v>
      </c>
      <c r="H1232" s="67" t="s">
        <v>9</v>
      </c>
      <c r="I1232" s="14" t="s">
        <v>2065</v>
      </c>
      <c r="J1232" s="49">
        <v>10080</v>
      </c>
      <c r="K1232" s="13" t="s">
        <v>700</v>
      </c>
      <c r="L1232" s="48">
        <v>40320005</v>
      </c>
      <c r="N1232" s="2"/>
      <c r="O1232" s="3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</row>
    <row r="1233" spans="1:67" s="1" customFormat="1" ht="20" x14ac:dyDescent="0.2">
      <c r="A1233" s="14" t="s">
        <v>2986</v>
      </c>
      <c r="B1233" s="14" t="s">
        <v>18</v>
      </c>
      <c r="C1233" s="14">
        <v>2025</v>
      </c>
      <c r="D1233" s="14" t="str">
        <f t="array" ref="D1233">_xlfn.SWITCH(E1233,"Bagor","35.18.14","Sukomoro",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3" s="13" t="s">
        <v>102</v>
      </c>
      <c r="F1233" s="14" t="s">
        <v>2074</v>
      </c>
      <c r="G1233" s="14" t="s">
        <v>2075</v>
      </c>
      <c r="H1233" s="67" t="s">
        <v>9</v>
      </c>
      <c r="I1233" s="14" t="s">
        <v>2065</v>
      </c>
      <c r="J1233" s="49">
        <v>10080</v>
      </c>
      <c r="K1233" s="13" t="s">
        <v>700</v>
      </c>
      <c r="L1233" s="48">
        <v>40320006</v>
      </c>
      <c r="N1233" s="2"/>
      <c r="O1233" s="3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</row>
    <row r="1234" spans="1:67" s="1" customFormat="1" ht="20" x14ac:dyDescent="0.2">
      <c r="A1234" s="14" t="s">
        <v>2986</v>
      </c>
      <c r="B1234" s="14" t="s">
        <v>18</v>
      </c>
      <c r="C1234" s="14">
        <v>2025</v>
      </c>
      <c r="D1234" s="14" t="str">
        <f t="array" ref="D1234">_xlfn.SWITCH(E1234,"Bagor","35.18.14","Sukomoro",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4" s="13" t="s">
        <v>18</v>
      </c>
      <c r="F1234" s="14" t="s">
        <v>2076</v>
      </c>
      <c r="G1234" s="14" t="s">
        <v>2077</v>
      </c>
      <c r="H1234" s="67" t="s">
        <v>9</v>
      </c>
      <c r="I1234" s="14" t="s">
        <v>2046</v>
      </c>
      <c r="J1234" s="62">
        <v>5000</v>
      </c>
      <c r="K1234" s="61" t="s">
        <v>22</v>
      </c>
      <c r="L1234" s="64">
        <f>J1234*2500</f>
        <v>12500000</v>
      </c>
      <c r="N1234" s="2"/>
      <c r="O1234" s="3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</row>
    <row r="1235" spans="1:67" s="1" customFormat="1" ht="20" x14ac:dyDescent="0.2">
      <c r="A1235" s="14" t="s">
        <v>2986</v>
      </c>
      <c r="B1235" s="14" t="s">
        <v>18</v>
      </c>
      <c r="C1235" s="14">
        <v>2025</v>
      </c>
      <c r="D1235" s="14" t="str">
        <f t="array" ref="D1235">_xlfn.SWITCH(E1235,"Bagor","35.18.14","Sukomoro",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35" s="13" t="s">
        <v>98</v>
      </c>
      <c r="F1235" s="14" t="s">
        <v>2078</v>
      </c>
      <c r="G1235" s="14" t="s">
        <v>2079</v>
      </c>
      <c r="H1235" s="67" t="s">
        <v>9</v>
      </c>
      <c r="I1235" s="14" t="s">
        <v>2080</v>
      </c>
      <c r="J1235" s="49">
        <v>500</v>
      </c>
      <c r="K1235" s="80" t="s">
        <v>217</v>
      </c>
      <c r="L1235" s="48">
        <v>15000000</v>
      </c>
      <c r="N1235" s="2"/>
      <c r="O1235" s="3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</row>
    <row r="1236" spans="1:67" x14ac:dyDescent="0.2">
      <c r="A1236" s="14" t="s">
        <v>2986</v>
      </c>
      <c r="B1236" s="14" t="s">
        <v>18</v>
      </c>
      <c r="C1236" s="14">
        <v>2025</v>
      </c>
      <c r="D1236" s="14" t="str">
        <f t="array" ref="D1236">_xlfn.SWITCH(E1236,"Bagor","35.18.14","Sukomoro",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6" s="13" t="s">
        <v>18</v>
      </c>
      <c r="F1236" s="14" t="s">
        <v>2081</v>
      </c>
      <c r="G1236" s="14" t="s">
        <v>2082</v>
      </c>
      <c r="H1236" s="67" t="s">
        <v>9</v>
      </c>
      <c r="I1236" s="14" t="s">
        <v>2054</v>
      </c>
      <c r="J1236" s="62">
        <v>250</v>
      </c>
      <c r="K1236" s="61" t="s">
        <v>217</v>
      </c>
      <c r="L1236" s="64">
        <f>J1236*60000</f>
        <v>15000000</v>
      </c>
    </row>
    <row r="1237" spans="1:67" x14ac:dyDescent="0.2">
      <c r="A1237" s="14" t="s">
        <v>2986</v>
      </c>
      <c r="B1237" s="14" t="s">
        <v>18</v>
      </c>
      <c r="C1237" s="14">
        <v>2025</v>
      </c>
      <c r="D1237" s="14" t="str">
        <f t="array" ref="D1237">_xlfn.SWITCH(E1237,"Bagor","35.18.14","Sukomoro",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37" s="13" t="s">
        <v>84</v>
      </c>
      <c r="F1237" s="14" t="s">
        <v>2083</v>
      </c>
      <c r="G1237" s="14" t="s">
        <v>2084</v>
      </c>
      <c r="H1237" s="67" t="s">
        <v>9</v>
      </c>
      <c r="I1237" s="63" t="s">
        <v>2010</v>
      </c>
      <c r="J1237" s="62">
        <v>200</v>
      </c>
      <c r="K1237" s="61" t="s">
        <v>217</v>
      </c>
      <c r="L1237" s="64">
        <f>J1237*55000</f>
        <v>11000000</v>
      </c>
    </row>
    <row r="1238" spans="1:67" ht="20" x14ac:dyDescent="0.2">
      <c r="A1238" s="14" t="s">
        <v>2986</v>
      </c>
      <c r="B1238" s="14" t="s">
        <v>18</v>
      </c>
      <c r="C1238" s="14">
        <v>2025</v>
      </c>
      <c r="D1238" s="14" t="str">
        <f t="array" ref="D1238">_xlfn.SWITCH(E1238,"Bagor","35.18.14","Sukomoro",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38" s="13" t="s">
        <v>57</v>
      </c>
      <c r="F1238" s="14" t="s">
        <v>2085</v>
      </c>
      <c r="G1238" s="14" t="s">
        <v>2086</v>
      </c>
      <c r="H1238" s="67" t="s">
        <v>9</v>
      </c>
      <c r="I1238" s="14" t="s">
        <v>2087</v>
      </c>
      <c r="J1238" s="62">
        <v>1000</v>
      </c>
      <c r="K1238" s="61" t="s">
        <v>2034</v>
      </c>
      <c r="L1238" s="64">
        <f>J1238*2500</f>
        <v>2500000</v>
      </c>
    </row>
    <row r="1239" spans="1:67" ht="30" x14ac:dyDescent="0.2">
      <c r="A1239" s="14" t="s">
        <v>2986</v>
      </c>
      <c r="B1239" s="14" t="s">
        <v>18</v>
      </c>
      <c r="C1239" s="14">
        <v>2025</v>
      </c>
      <c r="D1239" s="14" t="str">
        <f t="array" ref="D1239">_xlfn.SWITCH(E1239,"Bagor","35.18.14","Sukomoro",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9" s="13" t="s">
        <v>18</v>
      </c>
      <c r="F1239" s="14" t="s">
        <v>2088</v>
      </c>
      <c r="G1239" s="14" t="s">
        <v>2089</v>
      </c>
      <c r="H1239" s="67" t="s">
        <v>9</v>
      </c>
      <c r="I1239" s="14" t="s">
        <v>2054</v>
      </c>
      <c r="J1239" s="62">
        <v>250</v>
      </c>
      <c r="K1239" s="61" t="s">
        <v>217</v>
      </c>
      <c r="L1239" s="64">
        <f>J1239*60000</f>
        <v>15000000</v>
      </c>
    </row>
    <row r="1240" spans="1:67" ht="20" x14ac:dyDescent="0.2">
      <c r="A1240" s="14" t="s">
        <v>2986</v>
      </c>
      <c r="B1240" s="14" t="s">
        <v>18</v>
      </c>
      <c r="C1240" s="14">
        <v>2025</v>
      </c>
      <c r="D1240" s="14" t="str">
        <f t="array" ref="D1240">_xlfn.SWITCH(E1240,"Bagor","35.18.14","Sukomoro",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0" s="13" t="s">
        <v>1902</v>
      </c>
      <c r="F1240" s="14" t="s">
        <v>2090</v>
      </c>
      <c r="G1240" s="14" t="s">
        <v>2091</v>
      </c>
      <c r="H1240" s="67" t="s">
        <v>9</v>
      </c>
      <c r="I1240" s="14" t="s">
        <v>2046</v>
      </c>
      <c r="J1240" s="62">
        <v>5000</v>
      </c>
      <c r="K1240" s="61" t="s">
        <v>22</v>
      </c>
      <c r="L1240" s="64">
        <f>J1240*2500</f>
        <v>12500000</v>
      </c>
    </row>
    <row r="1241" spans="1:67" ht="20" x14ac:dyDescent="0.2">
      <c r="A1241" s="14" t="s">
        <v>2986</v>
      </c>
      <c r="B1241" s="14" t="s">
        <v>18</v>
      </c>
      <c r="C1241" s="14">
        <v>2025</v>
      </c>
      <c r="D1241" s="14" t="str">
        <f t="array" ref="D1241">_xlfn.SWITCH(E1241,"Bagor","35.18.14","Sukomoro",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1" s="13" t="s">
        <v>1902</v>
      </c>
      <c r="F1241" s="14" t="s">
        <v>2092</v>
      </c>
      <c r="G1241" s="14" t="s">
        <v>2093</v>
      </c>
      <c r="H1241" s="67" t="s">
        <v>9</v>
      </c>
      <c r="I1241" s="14" t="s">
        <v>2094</v>
      </c>
      <c r="J1241" s="62">
        <v>200</v>
      </c>
      <c r="K1241" s="61" t="s">
        <v>217</v>
      </c>
      <c r="L1241" s="64">
        <f>J1241*55000</f>
        <v>11000000</v>
      </c>
    </row>
    <row r="1242" spans="1:67" ht="20" x14ac:dyDescent="0.2">
      <c r="A1242" s="14" t="s">
        <v>2986</v>
      </c>
      <c r="B1242" s="14" t="s">
        <v>18</v>
      </c>
      <c r="C1242" s="14">
        <v>2025</v>
      </c>
      <c r="D1242" s="14" t="str">
        <f t="array" ref="D1242">_xlfn.SWITCH(E1242,"Bagor","35.18.14","Sukomoro",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42" s="13" t="s">
        <v>84</v>
      </c>
      <c r="F1242" s="14" t="s">
        <v>2095</v>
      </c>
      <c r="G1242" s="14" t="s">
        <v>2096</v>
      </c>
      <c r="H1242" s="67" t="s">
        <v>9</v>
      </c>
      <c r="I1242" s="14" t="s">
        <v>2094</v>
      </c>
      <c r="J1242" s="62">
        <v>200</v>
      </c>
      <c r="K1242" s="61" t="s">
        <v>217</v>
      </c>
      <c r="L1242" s="64">
        <f>J1242*55000</f>
        <v>11000000</v>
      </c>
    </row>
    <row r="1243" spans="1:67" ht="20" x14ac:dyDescent="0.2">
      <c r="A1243" s="14" t="s">
        <v>2986</v>
      </c>
      <c r="B1243" s="14" t="s">
        <v>18</v>
      </c>
      <c r="C1243" s="14">
        <v>2025</v>
      </c>
      <c r="D1243" s="14" t="str">
        <f t="array" ref="D1243">_xlfn.SWITCH(E1243,"Jatikalen","35.18.20","Kertosono", "35.18.08","Lengkong","35.18.19","Loceret","35.18.04","Tanjunganom","35.18.11","Wilangan","35.18.15")</f>
        <v>35.18.04</v>
      </c>
      <c r="E1243" s="13" t="s">
        <v>15</v>
      </c>
      <c r="F1243" s="14" t="s">
        <v>2097</v>
      </c>
      <c r="G1243" s="14" t="s">
        <v>2098</v>
      </c>
      <c r="H1243" s="67" t="s">
        <v>9</v>
      </c>
      <c r="I1243" s="14" t="s">
        <v>1698</v>
      </c>
      <c r="J1243" s="62"/>
      <c r="K1243" s="61"/>
      <c r="L1243" s="64"/>
    </row>
    <row r="1244" spans="1:67" ht="20" x14ac:dyDescent="0.2">
      <c r="A1244" s="14" t="s">
        <v>2986</v>
      </c>
      <c r="B1244" s="14" t="s">
        <v>18</v>
      </c>
      <c r="C1244" s="14">
        <v>2025</v>
      </c>
      <c r="D1244" s="14" t="str">
        <f t="array" ref="D1244">_xlfn.SWITCH(E1244,"Bagor","35.18.14","Sukomoro",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44" s="13" t="s">
        <v>35</v>
      </c>
      <c r="F1244" s="14" t="s">
        <v>2099</v>
      </c>
      <c r="G1244" s="14" t="s">
        <v>2100</v>
      </c>
      <c r="H1244" s="67" t="s">
        <v>9</v>
      </c>
      <c r="I1244" s="14" t="s">
        <v>2046</v>
      </c>
      <c r="J1244" s="62">
        <v>5000</v>
      </c>
      <c r="K1244" s="61" t="s">
        <v>22</v>
      </c>
      <c r="L1244" s="64">
        <v>15500000</v>
      </c>
    </row>
    <row r="1245" spans="1:67" ht="20" x14ac:dyDescent="0.2">
      <c r="A1245" s="14" t="s">
        <v>2986</v>
      </c>
      <c r="B1245" s="14" t="s">
        <v>18</v>
      </c>
      <c r="C1245" s="14">
        <v>2025</v>
      </c>
      <c r="D1245" s="14" t="str">
        <f t="array" ref="D1245">_xlfn.SWITCH(E1245,"Jatikalen","35.18.20","Kertosono", "35.18.08","Lengkong","35.18.19","Loceret","35.18.04","Tanjunganom","35.18.11","Wilangan","35.18.15")</f>
        <v>35.18.04</v>
      </c>
      <c r="E1245" s="13" t="s">
        <v>15</v>
      </c>
      <c r="F1245" s="14" t="s">
        <v>2101</v>
      </c>
      <c r="G1245" s="14" t="s">
        <v>2102</v>
      </c>
      <c r="H1245" s="67" t="s">
        <v>9</v>
      </c>
      <c r="I1245" s="14" t="s">
        <v>2043</v>
      </c>
      <c r="J1245" s="79">
        <v>10000</v>
      </c>
      <c r="K1245" s="79" t="s">
        <v>1186</v>
      </c>
      <c r="L1245" s="79">
        <v>30000000</v>
      </c>
    </row>
    <row r="1246" spans="1:67" x14ac:dyDescent="0.2">
      <c r="A1246" s="14" t="s">
        <v>2986</v>
      </c>
      <c r="B1246" s="14" t="s">
        <v>18</v>
      </c>
      <c r="C1246" s="14">
        <v>2025</v>
      </c>
      <c r="D1246" s="14" t="str">
        <f t="array" ref="D1246">_xlfn.SWITCH(E1246,"Bagor","35.18.14","Sukomoro",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46" s="13" t="s">
        <v>98</v>
      </c>
      <c r="F1246" s="14" t="s">
        <v>2103</v>
      </c>
      <c r="G1246" s="14" t="s">
        <v>2104</v>
      </c>
      <c r="H1246" s="67" t="s">
        <v>9</v>
      </c>
      <c r="I1246" s="14" t="s">
        <v>2065</v>
      </c>
      <c r="J1246" s="49">
        <v>10080</v>
      </c>
      <c r="K1246" s="13" t="s">
        <v>700</v>
      </c>
      <c r="L1246" s="48">
        <v>40320000</v>
      </c>
    </row>
    <row r="1247" spans="1:67" ht="20" x14ac:dyDescent="0.2">
      <c r="A1247" s="14" t="s">
        <v>2986</v>
      </c>
      <c r="B1247" s="14" t="s">
        <v>18</v>
      </c>
      <c r="C1247" s="14">
        <v>2025</v>
      </c>
      <c r="D1247" s="14" t="str">
        <f t="array" ref="D1247">_xlfn.SWITCH(E1247,"Jatikalen","35.18.20","Kertosono", "35.18.08","Lengkong","35.18.19","Loceret","35.18.04","Tanjunganom","35.18.11","Wilangan","35.18.15")</f>
        <v>35.18.15</v>
      </c>
      <c r="E1247" s="13" t="s">
        <v>848</v>
      </c>
      <c r="F1247" s="14" t="s">
        <v>2105</v>
      </c>
      <c r="G1247" s="14" t="s">
        <v>2106</v>
      </c>
      <c r="H1247" s="67" t="s">
        <v>9</v>
      </c>
      <c r="I1247" s="14" t="s">
        <v>2046</v>
      </c>
      <c r="J1247" s="62">
        <v>5000</v>
      </c>
      <c r="K1247" s="61" t="s">
        <v>22</v>
      </c>
      <c r="L1247" s="64">
        <f>J1247*2500</f>
        <v>12500000</v>
      </c>
      <c r="M1247" s="81"/>
    </row>
    <row r="1248" spans="1:67" ht="20" x14ac:dyDescent="0.2">
      <c r="A1248" s="14" t="s">
        <v>2986</v>
      </c>
      <c r="B1248" s="14" t="s">
        <v>18</v>
      </c>
      <c r="C1248" s="14">
        <v>2025</v>
      </c>
      <c r="D1248" s="14" t="str">
        <f t="array" ref="D1248">_xlfn.SWITCH(E1248,"Bagor","35.18.14","Sukomoro",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8" s="13" t="s">
        <v>18</v>
      </c>
      <c r="F1248" s="14" t="s">
        <v>2107</v>
      </c>
      <c r="G1248" s="14" t="s">
        <v>2108</v>
      </c>
      <c r="H1248" s="67" t="s">
        <v>9</v>
      </c>
      <c r="I1248" s="14" t="s">
        <v>2080</v>
      </c>
      <c r="J1248" s="62">
        <v>750</v>
      </c>
      <c r="K1248" s="13" t="s">
        <v>700</v>
      </c>
      <c r="L1248" s="64">
        <v>18000000</v>
      </c>
      <c r="M1248" s="81"/>
    </row>
    <row r="1249" spans="1:13" ht="20" x14ac:dyDescent="0.2">
      <c r="A1249" s="14" t="s">
        <v>2986</v>
      </c>
      <c r="B1249" s="14" t="s">
        <v>18</v>
      </c>
      <c r="C1249" s="14">
        <v>2025</v>
      </c>
      <c r="D1249" s="14" t="str">
        <f t="array" ref="D1249">_xlfn.SWITCH(E1249,"Bagor","35.18.14","Sukomoro",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9" s="13" t="s">
        <v>1902</v>
      </c>
      <c r="F1249" s="14" t="s">
        <v>2109</v>
      </c>
      <c r="G1249" s="14" t="s">
        <v>2110</v>
      </c>
      <c r="H1249" s="67" t="s">
        <v>9</v>
      </c>
      <c r="I1249" s="14" t="s">
        <v>2094</v>
      </c>
      <c r="J1249" s="62">
        <v>200</v>
      </c>
      <c r="K1249" s="61" t="s">
        <v>217</v>
      </c>
      <c r="L1249" s="64">
        <f>J1249*55000</f>
        <v>11000000</v>
      </c>
      <c r="M1249" s="81"/>
    </row>
    <row r="1250" spans="1:13" ht="10.5" x14ac:dyDescent="0.2">
      <c r="A1250" s="14" t="s">
        <v>2986</v>
      </c>
      <c r="B1250" s="14" t="s">
        <v>18</v>
      </c>
      <c r="C1250" s="14">
        <v>2025</v>
      </c>
      <c r="D1250" s="14" t="str">
        <f t="array" ref="D1250">_xlfn.SWITCH(E1250,"Bagor","35.18.14","Sukomoro",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0" s="13" t="s">
        <v>18</v>
      </c>
      <c r="F1250" s="14" t="s">
        <v>2111</v>
      </c>
      <c r="G1250" s="14" t="s">
        <v>2112</v>
      </c>
      <c r="H1250" s="67" t="s">
        <v>9</v>
      </c>
      <c r="I1250" s="14" t="s">
        <v>2094</v>
      </c>
      <c r="J1250" s="62">
        <v>200</v>
      </c>
      <c r="K1250" s="61" t="s">
        <v>217</v>
      </c>
      <c r="L1250" s="64">
        <f>J1250*55000</f>
        <v>11000000</v>
      </c>
      <c r="M1250" s="82"/>
    </row>
    <row r="1251" spans="1:13" ht="20" x14ac:dyDescent="0.2">
      <c r="A1251" s="14" t="s">
        <v>2986</v>
      </c>
      <c r="B1251" s="14" t="s">
        <v>18</v>
      </c>
      <c r="C1251" s="14">
        <v>2025</v>
      </c>
      <c r="D1251" s="14" t="str">
        <f t="array" ref="D1251">_xlfn.SWITCH(E1251,"Jatikalen","35.18.20","Kertosono", "35.18.08","Lengkong","35.18.19","Loceret","35.18.04","Tanjunganom","35.18.11","Wilangan","35.18.15")</f>
        <v>35.18.11</v>
      </c>
      <c r="E1251" s="13" t="s">
        <v>27</v>
      </c>
      <c r="F1251" s="14" t="s">
        <v>2113</v>
      </c>
      <c r="G1251" s="14" t="s">
        <v>1116</v>
      </c>
      <c r="H1251" s="67" t="s">
        <v>9</v>
      </c>
      <c r="I1251" s="14" t="s">
        <v>2046</v>
      </c>
      <c r="J1251" s="62">
        <v>5000</v>
      </c>
      <c r="K1251" s="61" t="s">
        <v>22</v>
      </c>
      <c r="L1251" s="64">
        <f>J1251*2500</f>
        <v>12500000</v>
      </c>
      <c r="M1251" s="82"/>
    </row>
    <row r="1252" spans="1:13" ht="10.5" x14ac:dyDescent="0.2">
      <c r="A1252" s="14" t="s">
        <v>2986</v>
      </c>
      <c r="B1252" s="14" t="s">
        <v>18</v>
      </c>
      <c r="C1252" s="14">
        <v>2025</v>
      </c>
      <c r="D1252" s="14" t="str">
        <f t="array" ref="D1252">_xlfn.SWITCH(E1252,"Bagor","35.18.14","Sukomoro",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52" s="13" t="s">
        <v>35</v>
      </c>
      <c r="F1252" s="14" t="s">
        <v>2114</v>
      </c>
      <c r="G1252" s="14" t="s">
        <v>2115</v>
      </c>
      <c r="H1252" s="67" t="s">
        <v>9</v>
      </c>
      <c r="I1252" s="14" t="s">
        <v>2094</v>
      </c>
      <c r="J1252" s="62">
        <v>200</v>
      </c>
      <c r="K1252" s="61" t="s">
        <v>217</v>
      </c>
      <c r="L1252" s="64">
        <f>J1252*55000</f>
        <v>11000000</v>
      </c>
      <c r="M1252" s="82"/>
    </row>
    <row r="1253" spans="1:13" ht="20" x14ac:dyDescent="0.2">
      <c r="A1253" s="14" t="s">
        <v>2986</v>
      </c>
      <c r="B1253" s="14" t="s">
        <v>18</v>
      </c>
      <c r="C1253" s="14">
        <v>2025</v>
      </c>
      <c r="D1253" s="14" t="str">
        <f t="array" ref="D1253">_xlfn.SWITCH(E1253,"Jatikalen","35.18.20","Kertosono", "35.18.08","Lengkong","35.18.19","Loceret","35.18.04","Tanjunganom","35.18.11","Wilangan","35.18.15")</f>
        <v>35.18.08</v>
      </c>
      <c r="E1253" s="13" t="s">
        <v>75</v>
      </c>
      <c r="F1253" s="14" t="s">
        <v>2116</v>
      </c>
      <c r="G1253" s="78" t="s">
        <v>2117</v>
      </c>
      <c r="H1253" s="67" t="s">
        <v>9</v>
      </c>
      <c r="I1253" s="14" t="s">
        <v>2046</v>
      </c>
      <c r="J1253" s="62">
        <v>5000</v>
      </c>
      <c r="K1253" s="61" t="s">
        <v>22</v>
      </c>
      <c r="L1253" s="64">
        <f>J1253*2500</f>
        <v>12500000</v>
      </c>
      <c r="M1253" s="82"/>
    </row>
    <row r="1254" spans="1:13" ht="30" x14ac:dyDescent="0.2">
      <c r="A1254" s="14" t="s">
        <v>2986</v>
      </c>
      <c r="B1254" s="14" t="s">
        <v>18</v>
      </c>
      <c r="C1254" s="14">
        <v>2025</v>
      </c>
      <c r="D1254" s="14" t="str">
        <f t="array" ref="D1254">_xlfn.SWITCH(E1254,"Bagor","35.18.14","Sukomoro",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4" s="13" t="s">
        <v>18</v>
      </c>
      <c r="F1254" s="14" t="s">
        <v>2118</v>
      </c>
      <c r="G1254" s="14" t="s">
        <v>2119</v>
      </c>
      <c r="H1254" s="67" t="s">
        <v>9</v>
      </c>
      <c r="I1254" s="14" t="s">
        <v>2087</v>
      </c>
      <c r="J1254" s="62"/>
      <c r="K1254" s="61"/>
      <c r="L1254" s="64"/>
      <c r="M1254" s="83"/>
    </row>
    <row r="1255" spans="1:13" ht="20" x14ac:dyDescent="0.2">
      <c r="A1255" s="14" t="s">
        <v>2986</v>
      </c>
      <c r="B1255" s="14" t="s">
        <v>18</v>
      </c>
      <c r="C1255" s="14">
        <v>2025</v>
      </c>
      <c r="D1255" s="14" t="str">
        <f t="array" ref="D1255">_xlfn.SWITCH(E1255,"Bagor","35.18.14","Sukomoro",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55" s="13" t="s">
        <v>98</v>
      </c>
      <c r="F1255" s="14" t="s">
        <v>2120</v>
      </c>
      <c r="G1255" s="14" t="s">
        <v>2121</v>
      </c>
      <c r="H1255" s="67" t="s">
        <v>9</v>
      </c>
      <c r="I1255" s="14" t="s">
        <v>2046</v>
      </c>
      <c r="J1255" s="62">
        <v>5000</v>
      </c>
      <c r="K1255" s="61" t="s">
        <v>22</v>
      </c>
      <c r="L1255" s="64">
        <f>J1255*2500</f>
        <v>12500000</v>
      </c>
      <c r="M1255" s="84"/>
    </row>
    <row r="1256" spans="1:13" ht="20" x14ac:dyDescent="0.2">
      <c r="A1256" s="14" t="s">
        <v>2986</v>
      </c>
      <c r="B1256" s="14" t="s">
        <v>18</v>
      </c>
      <c r="C1256" s="14">
        <v>2025</v>
      </c>
      <c r="D1256" s="14" t="str">
        <f t="array" ref="D1256">_xlfn.SWITCH(E1256,"Bagor","35.18.14","Sukomoro",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56" s="13" t="s">
        <v>102</v>
      </c>
      <c r="F1256" s="14" t="s">
        <v>2122</v>
      </c>
      <c r="G1256" s="14" t="s">
        <v>2123</v>
      </c>
      <c r="H1256" s="67" t="s">
        <v>9</v>
      </c>
      <c r="I1256" s="63" t="s">
        <v>2049</v>
      </c>
      <c r="J1256" s="62">
        <f>15*25*12</f>
        <v>4500</v>
      </c>
      <c r="K1256" s="61" t="s">
        <v>700</v>
      </c>
      <c r="L1256" s="64">
        <v>60000000</v>
      </c>
      <c r="M1256" s="84"/>
    </row>
    <row r="1257" spans="1:13" ht="20" x14ac:dyDescent="0.2">
      <c r="A1257" s="14" t="s">
        <v>2986</v>
      </c>
      <c r="B1257" s="14" t="s">
        <v>18</v>
      </c>
      <c r="C1257" s="14">
        <v>2025</v>
      </c>
      <c r="D1257" s="14" t="str">
        <f t="array" ref="D1257">_xlfn.SWITCH(E1257,"Bagor","35.18.14","Sukomoro",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57" s="13" t="s">
        <v>57</v>
      </c>
      <c r="F1257" s="14" t="s">
        <v>2124</v>
      </c>
      <c r="G1257" s="14" t="s">
        <v>2125</v>
      </c>
      <c r="H1257" s="67" t="s">
        <v>9</v>
      </c>
      <c r="I1257" s="63" t="s">
        <v>1025</v>
      </c>
      <c r="J1257" s="62">
        <v>1000</v>
      </c>
      <c r="K1257" s="61" t="s">
        <v>2034</v>
      </c>
      <c r="L1257" s="64">
        <f>J1257*2500</f>
        <v>2500000</v>
      </c>
    </row>
    <row r="1258" spans="1:13" ht="20" x14ac:dyDescent="0.2">
      <c r="A1258" s="14" t="s">
        <v>2986</v>
      </c>
      <c r="B1258" s="14" t="s">
        <v>18</v>
      </c>
      <c r="C1258" s="14">
        <v>2025</v>
      </c>
      <c r="D1258" s="14" t="str">
        <f t="array" ref="D1258">_xlfn.SWITCH(E1258,"Jatikalen","35.18.20","Kertosono", "35.18.08","Lengkong","35.18.19","Loceret","35.18.04","Tanjunganom","35.18.11","Wilangan","35.18.15")</f>
        <v>35.18.04</v>
      </c>
      <c r="E1258" s="13" t="s">
        <v>15</v>
      </c>
      <c r="F1258" s="14" t="s">
        <v>2126</v>
      </c>
      <c r="G1258" s="14" t="s">
        <v>2127</v>
      </c>
      <c r="H1258" s="67" t="s">
        <v>9</v>
      </c>
      <c r="I1258" s="14" t="s">
        <v>2054</v>
      </c>
      <c r="J1258" s="62">
        <v>250</v>
      </c>
      <c r="K1258" s="61" t="s">
        <v>217</v>
      </c>
      <c r="L1258" s="64">
        <f>J1258*60000</f>
        <v>15000000</v>
      </c>
    </row>
    <row r="1259" spans="1:13" x14ac:dyDescent="0.2">
      <c r="A1259" s="14" t="s">
        <v>2986</v>
      </c>
      <c r="B1259" s="14" t="s">
        <v>18</v>
      </c>
      <c r="C1259" s="14">
        <v>2025</v>
      </c>
      <c r="D1259" s="14" t="str">
        <f t="array" ref="D1259">_xlfn.SWITCH(E1259,"Bagor","35.18.14","Sukomoro",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59" s="13" t="s">
        <v>72</v>
      </c>
      <c r="F1259" s="14" t="s">
        <v>2128</v>
      </c>
      <c r="G1259" s="14" t="s">
        <v>2129</v>
      </c>
      <c r="H1259" s="67" t="s">
        <v>9</v>
      </c>
      <c r="I1259" s="14" t="s">
        <v>2130</v>
      </c>
      <c r="J1259" s="62"/>
      <c r="K1259" s="61"/>
      <c r="L1259" s="64"/>
    </row>
    <row r="1260" spans="1:13" ht="20" x14ac:dyDescent="0.2">
      <c r="A1260" s="14" t="s">
        <v>2986</v>
      </c>
      <c r="B1260" s="14" t="s">
        <v>18</v>
      </c>
      <c r="C1260" s="14">
        <v>2025</v>
      </c>
      <c r="D1260" s="14" t="str">
        <f t="array" ref="D1260">_xlfn.SWITCH(E1260,"Jatikalen","35.18.20","Kertosono", "35.18.08","Lengkong","35.18.19","Loceret","35.18.04","Tanjunganom","35.18.11","Wilangan","35.18.15")</f>
        <v>35.18.19</v>
      </c>
      <c r="E1260" s="13" t="s">
        <v>30</v>
      </c>
      <c r="F1260" s="14" t="s">
        <v>2131</v>
      </c>
      <c r="G1260" s="14" t="s">
        <v>2132</v>
      </c>
      <c r="H1260" s="67" t="s">
        <v>9</v>
      </c>
      <c r="I1260" s="14" t="s">
        <v>2094</v>
      </c>
      <c r="J1260" s="62">
        <v>200</v>
      </c>
      <c r="K1260" s="61" t="s">
        <v>217</v>
      </c>
      <c r="L1260" s="64">
        <f>J1260*55000</f>
        <v>11000000</v>
      </c>
    </row>
    <row r="1261" spans="1:13" ht="20" x14ac:dyDescent="0.2">
      <c r="A1261" s="14" t="s">
        <v>2986</v>
      </c>
      <c r="B1261" s="14" t="s">
        <v>18</v>
      </c>
      <c r="C1261" s="14">
        <v>2025</v>
      </c>
      <c r="D1261" s="14" t="str">
        <f t="array" ref="D1261">_xlfn.SWITCH(E1261,"Bagor","35.18.14","Sukomoro",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1" s="13" t="s">
        <v>18</v>
      </c>
      <c r="F1261" s="14" t="s">
        <v>2133</v>
      </c>
      <c r="G1261" s="14" t="s">
        <v>2134</v>
      </c>
      <c r="H1261" s="67" t="s">
        <v>9</v>
      </c>
      <c r="I1261" s="14" t="s">
        <v>2135</v>
      </c>
      <c r="J1261" s="62"/>
      <c r="K1261" s="61"/>
      <c r="L1261" s="64"/>
    </row>
    <row r="1262" spans="1:13" ht="20" x14ac:dyDescent="0.2">
      <c r="A1262" s="14" t="s">
        <v>2986</v>
      </c>
      <c r="B1262" s="14" t="s">
        <v>18</v>
      </c>
      <c r="C1262" s="14">
        <v>2025</v>
      </c>
      <c r="D1262" s="14" t="str">
        <f t="array" ref="D1262">_xlfn.SWITCH(E1262,"Bagor","35.18.14","Sukomoro",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2" s="13" t="s">
        <v>119</v>
      </c>
      <c r="F1262" s="14" t="s">
        <v>2136</v>
      </c>
      <c r="G1262" s="14" t="s">
        <v>2137</v>
      </c>
      <c r="H1262" s="67" t="s">
        <v>9</v>
      </c>
      <c r="I1262" s="14" t="s">
        <v>2138</v>
      </c>
      <c r="J1262" s="62"/>
      <c r="K1262" s="61"/>
      <c r="L1262" s="64"/>
    </row>
    <row r="1263" spans="1:13" ht="20" x14ac:dyDescent="0.2">
      <c r="A1263" s="14" t="s">
        <v>2986</v>
      </c>
      <c r="B1263" s="14" t="s">
        <v>18</v>
      </c>
      <c r="C1263" s="14">
        <v>2025</v>
      </c>
      <c r="D1263" s="14" t="str">
        <f t="array" ref="D1263">_xlfn.SWITCH(E1263,"Jatikalen","35.18.20","Kertosono", "35.18.08","Lengkong","35.18.19","Loceret","35.18.04","Tanjunganom","35.18.11","Wilangan","35.18.15")</f>
        <v>35.18.04</v>
      </c>
      <c r="E1263" s="13" t="s">
        <v>15</v>
      </c>
      <c r="F1263" s="14" t="s">
        <v>2139</v>
      </c>
      <c r="G1263" s="14" t="s">
        <v>2140</v>
      </c>
      <c r="H1263" s="67" t="s">
        <v>9</v>
      </c>
      <c r="I1263" s="14" t="s">
        <v>2141</v>
      </c>
      <c r="J1263" s="62"/>
      <c r="K1263" s="61"/>
      <c r="L1263" s="64"/>
    </row>
    <row r="1264" spans="1:13" ht="20" x14ac:dyDescent="0.2">
      <c r="A1264" s="14" t="s">
        <v>2986</v>
      </c>
      <c r="B1264" s="14" t="s">
        <v>18</v>
      </c>
      <c r="C1264" s="14">
        <v>2025</v>
      </c>
      <c r="D1264" s="14" t="str">
        <f t="array" ref="D1264">_xlfn.SWITCH(E1264,"Bagor","35.18.14","Sukomoro",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4" s="13" t="s">
        <v>119</v>
      </c>
      <c r="F1264" s="14" t="s">
        <v>2142</v>
      </c>
      <c r="G1264" s="14" t="s">
        <v>2143</v>
      </c>
      <c r="H1264" s="67" t="s">
        <v>9</v>
      </c>
      <c r="I1264" s="14" t="s">
        <v>2046</v>
      </c>
      <c r="J1264" s="62">
        <v>5000</v>
      </c>
      <c r="K1264" s="61" t="s">
        <v>22</v>
      </c>
      <c r="L1264" s="64">
        <f>J1264*2500</f>
        <v>12500000</v>
      </c>
    </row>
    <row r="1265" spans="1:15" ht="20" x14ac:dyDescent="0.2">
      <c r="A1265" s="14" t="s">
        <v>2986</v>
      </c>
      <c r="B1265" s="14" t="s">
        <v>18</v>
      </c>
      <c r="C1265" s="14">
        <v>2025</v>
      </c>
      <c r="D1265" s="14" t="str">
        <f t="array" ref="D1265">_xlfn.SWITCH(E1265,"Jatikalen","35.18.20","Kertosono", "35.18.08","Lengkong","35.18.19","Loceret","35.18.04","Tanjunganom","35.18.11","Wilangan","35.18.15")</f>
        <v>35.18.08</v>
      </c>
      <c r="E1265" s="13" t="s">
        <v>75</v>
      </c>
      <c r="F1265" s="14" t="s">
        <v>2144</v>
      </c>
      <c r="G1265" s="14" t="s">
        <v>2145</v>
      </c>
      <c r="H1265" s="67" t="s">
        <v>9</v>
      </c>
      <c r="I1265" s="14" t="s">
        <v>2046</v>
      </c>
      <c r="J1265" s="62">
        <v>5000</v>
      </c>
      <c r="K1265" s="61" t="s">
        <v>22</v>
      </c>
      <c r="L1265" s="64">
        <f>J1265*2500</f>
        <v>12500000</v>
      </c>
    </row>
    <row r="1266" spans="1:15" x14ac:dyDescent="0.2">
      <c r="A1266" s="14" t="s">
        <v>2986</v>
      </c>
      <c r="B1266" s="14" t="s">
        <v>18</v>
      </c>
      <c r="C1266" s="14">
        <v>2025</v>
      </c>
      <c r="D1266" s="14" t="str">
        <f t="array" ref="D1266">_xlfn.SWITCH(E1266,"Bagor","35.18.14","Sukomoro",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66" s="13" t="s">
        <v>98</v>
      </c>
      <c r="F1266" s="14" t="s">
        <v>2146</v>
      </c>
      <c r="G1266" s="14" t="s">
        <v>2147</v>
      </c>
      <c r="H1266" s="67" t="s">
        <v>9</v>
      </c>
      <c r="I1266" s="14" t="s">
        <v>2148</v>
      </c>
      <c r="J1266" s="62">
        <v>5000</v>
      </c>
      <c r="K1266" s="61" t="s">
        <v>217</v>
      </c>
      <c r="L1266" s="64">
        <v>15000000</v>
      </c>
    </row>
    <row r="1267" spans="1:15" ht="20" x14ac:dyDescent="0.2">
      <c r="A1267" s="14" t="s">
        <v>2986</v>
      </c>
      <c r="B1267" s="14" t="s">
        <v>18</v>
      </c>
      <c r="C1267" s="14">
        <v>2025</v>
      </c>
      <c r="D1267" s="14" t="str">
        <f t="array" ref="D1267">_xlfn.SWITCH(E1267,"Bagor","35.18.14","Sukomoro",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267" s="13" t="s">
        <v>65</v>
      </c>
      <c r="F1267" s="14" t="s">
        <v>2149</v>
      </c>
      <c r="G1267" s="14" t="s">
        <v>2150</v>
      </c>
      <c r="H1267" s="67" t="s">
        <v>9</v>
      </c>
      <c r="I1267" s="14" t="s">
        <v>2080</v>
      </c>
      <c r="J1267" s="62">
        <v>750</v>
      </c>
      <c r="K1267" s="13" t="s">
        <v>700</v>
      </c>
      <c r="L1267" s="64">
        <v>18000000</v>
      </c>
    </row>
    <row r="1268" spans="1:15" ht="20" x14ac:dyDescent="0.2">
      <c r="A1268" s="14" t="s">
        <v>2986</v>
      </c>
      <c r="B1268" s="14" t="s">
        <v>18</v>
      </c>
      <c r="C1268" s="14">
        <v>2025</v>
      </c>
      <c r="D1268" s="14" t="str">
        <f t="array" ref="D1268">_xlfn.SWITCH(E1268,"Bagor","35.18.14","Sukomoro",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68" s="13" t="s">
        <v>24</v>
      </c>
      <c r="F1268" s="14" t="s">
        <v>2151</v>
      </c>
      <c r="G1268" s="14" t="s">
        <v>2152</v>
      </c>
      <c r="H1268" s="67" t="s">
        <v>9</v>
      </c>
      <c r="I1268" s="14" t="s">
        <v>2094</v>
      </c>
      <c r="J1268" s="62">
        <v>200</v>
      </c>
      <c r="K1268" s="61" t="s">
        <v>217</v>
      </c>
      <c r="L1268" s="64">
        <f>J1268*55000</f>
        <v>11000000</v>
      </c>
    </row>
    <row r="1269" spans="1:15" ht="20" x14ac:dyDescent="0.2">
      <c r="A1269" s="14" t="s">
        <v>2986</v>
      </c>
      <c r="B1269" s="14" t="s">
        <v>18</v>
      </c>
      <c r="C1269" s="14">
        <v>2025</v>
      </c>
      <c r="D1269" s="14" t="str">
        <f t="array" ref="D1269">_xlfn.SWITCH(E1269,"Bagor","35.18.14","Sukomoro",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9" s="13" t="s">
        <v>18</v>
      </c>
      <c r="F1269" s="14" t="s">
        <v>2153</v>
      </c>
      <c r="G1269" s="14" t="s">
        <v>2154</v>
      </c>
      <c r="H1269" s="67" t="s">
        <v>9</v>
      </c>
      <c r="I1269" s="14" t="s">
        <v>2046</v>
      </c>
      <c r="J1269" s="62">
        <v>5000</v>
      </c>
      <c r="K1269" s="61" t="s">
        <v>22</v>
      </c>
      <c r="L1269" s="64">
        <f>J1269*2500</f>
        <v>12500000</v>
      </c>
    </row>
    <row r="1270" spans="1:15" ht="20" x14ac:dyDescent="0.2">
      <c r="A1270" s="14" t="s">
        <v>2986</v>
      </c>
      <c r="B1270" s="14" t="s">
        <v>18</v>
      </c>
      <c r="C1270" s="14">
        <v>2025</v>
      </c>
      <c r="D1270" s="14" t="str">
        <f t="array" ref="D1270">_xlfn.SWITCH(E1270,"Bagor","35.18.14","Sukomoro",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0" s="13" t="s">
        <v>72</v>
      </c>
      <c r="F1270" s="14" t="s">
        <v>2155</v>
      </c>
      <c r="G1270" s="14" t="s">
        <v>2156</v>
      </c>
      <c r="H1270" s="67" t="s">
        <v>9</v>
      </c>
      <c r="I1270" s="14" t="s">
        <v>1893</v>
      </c>
      <c r="J1270" s="62"/>
      <c r="K1270" s="61"/>
      <c r="L1270" s="64"/>
    </row>
    <row r="1271" spans="1:15" ht="20" x14ac:dyDescent="0.2">
      <c r="A1271" s="14" t="s">
        <v>2986</v>
      </c>
      <c r="B1271" s="14" t="s">
        <v>18</v>
      </c>
      <c r="C1271" s="14">
        <v>2025</v>
      </c>
      <c r="D1271" s="14" t="str">
        <f t="array" ref="D1271">_xlfn.SWITCH(E1271,"Bagor","35.18.14","Sukomoro",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1" s="13" t="s">
        <v>18</v>
      </c>
      <c r="F1271" s="14" t="s">
        <v>2157</v>
      </c>
      <c r="G1271" s="14" t="s">
        <v>2158</v>
      </c>
      <c r="H1271" s="67" t="s">
        <v>9</v>
      </c>
      <c r="I1271" s="14" t="s">
        <v>2080</v>
      </c>
      <c r="J1271" s="62">
        <v>750</v>
      </c>
      <c r="K1271" s="13" t="s">
        <v>700</v>
      </c>
      <c r="L1271" s="64">
        <v>18000000</v>
      </c>
    </row>
    <row r="1272" spans="1:15" ht="20" x14ac:dyDescent="0.2">
      <c r="A1272" s="14" t="s">
        <v>2986</v>
      </c>
      <c r="B1272" s="14" t="s">
        <v>18</v>
      </c>
      <c r="C1272" s="14">
        <v>2025</v>
      </c>
      <c r="D1272" s="14" t="str">
        <f t="array" ref="D1272">_xlfn.SWITCH(E1272,"Jatikalen","35.18.20","Kertosono", "35.18.08","Lengkong","35.18.19","Loceret","35.18.04","Tanjunganom","35.18.11","Wilangan","35.18.15")</f>
        <v>35.18.11</v>
      </c>
      <c r="E1272" s="13" t="s">
        <v>27</v>
      </c>
      <c r="F1272" s="14" t="s">
        <v>2159</v>
      </c>
      <c r="G1272" s="14" t="s">
        <v>2160</v>
      </c>
      <c r="H1272" s="67" t="s">
        <v>9</v>
      </c>
      <c r="I1272" s="14" t="s">
        <v>2054</v>
      </c>
      <c r="J1272" s="62">
        <v>250</v>
      </c>
      <c r="K1272" s="61" t="s">
        <v>217</v>
      </c>
      <c r="L1272" s="64">
        <f>J1272*60000</f>
        <v>15000000</v>
      </c>
    </row>
    <row r="1273" spans="1:15" ht="20" x14ac:dyDescent="0.2">
      <c r="A1273" s="14" t="s">
        <v>2986</v>
      </c>
      <c r="B1273" s="14" t="s">
        <v>18</v>
      </c>
      <c r="C1273" s="14">
        <v>2025</v>
      </c>
      <c r="D1273" s="14" t="str">
        <f t="array" ref="D1273">_xlfn.SWITCH(E1273,"Jatikalen","35.18.20","Kertosono", "35.18.08","Lengkong","35.18.19","Loceret","35.18.04","Tanjunganom","35.18.11","Wilangan","35.18.15")</f>
        <v>35.18.08</v>
      </c>
      <c r="E1273" s="13" t="s">
        <v>75</v>
      </c>
      <c r="F1273" s="14" t="s">
        <v>2161</v>
      </c>
      <c r="G1273" s="14" t="s">
        <v>2162</v>
      </c>
      <c r="H1273" s="67" t="s">
        <v>9</v>
      </c>
      <c r="I1273" s="14" t="s">
        <v>2163</v>
      </c>
      <c r="J1273" s="62"/>
      <c r="K1273" s="61"/>
      <c r="L1273" s="64"/>
    </row>
    <row r="1274" spans="1:15" ht="20" x14ac:dyDescent="0.2">
      <c r="A1274" s="14" t="s">
        <v>2986</v>
      </c>
      <c r="B1274" s="14" t="s">
        <v>18</v>
      </c>
      <c r="C1274" s="14">
        <v>2025</v>
      </c>
      <c r="D1274" s="14" t="str">
        <f t="array" ref="D1274">_xlfn.SWITCH(E1274,"Bagor","35.18.14","Sukomoro",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4" s="13" t="s">
        <v>18</v>
      </c>
      <c r="F1274" s="14" t="s">
        <v>2164</v>
      </c>
      <c r="G1274" s="14" t="s">
        <v>2165</v>
      </c>
      <c r="H1274" s="67" t="s">
        <v>9</v>
      </c>
      <c r="I1274" s="14" t="s">
        <v>2046</v>
      </c>
      <c r="J1274" s="62">
        <v>5000</v>
      </c>
      <c r="K1274" s="61" t="s">
        <v>22</v>
      </c>
      <c r="L1274" s="64">
        <f>J1274*2500</f>
        <v>12500000</v>
      </c>
    </row>
    <row r="1275" spans="1:15" ht="20" x14ac:dyDescent="0.2">
      <c r="A1275" s="14" t="s">
        <v>2986</v>
      </c>
      <c r="B1275" s="14" t="s">
        <v>18</v>
      </c>
      <c r="C1275" s="14">
        <v>2025</v>
      </c>
      <c r="D1275" s="14" t="str">
        <f t="array" ref="D1275">_xlfn.SWITCH(E1275,"Jatikalen","35.18.20","Kertosono", "35.18.08","Lengkong","35.18.19","Loceret","35.18.04","Tanjunganom","35.18.11","Wilangan","35.18.15")</f>
        <v>35.18.04</v>
      </c>
      <c r="E1275" s="13" t="s">
        <v>15</v>
      </c>
      <c r="F1275" s="14" t="s">
        <v>2166</v>
      </c>
      <c r="G1275" s="14" t="s">
        <v>2167</v>
      </c>
      <c r="H1275" s="67" t="s">
        <v>9</v>
      </c>
      <c r="I1275" s="14" t="s">
        <v>2168</v>
      </c>
      <c r="J1275" s="62"/>
      <c r="K1275" s="61"/>
      <c r="L1275" s="64"/>
    </row>
    <row r="1276" spans="1:15" x14ac:dyDescent="0.2">
      <c r="A1276" s="14" t="s">
        <v>2986</v>
      </c>
      <c r="B1276" s="14" t="s">
        <v>18</v>
      </c>
      <c r="C1276" s="14">
        <v>2025</v>
      </c>
      <c r="D1276" s="14" t="str">
        <f t="array" ref="D1276">_xlfn.SWITCH(E1276,"Jatikalen","35.18.20","Kertosono", "35.18.08","Lengkong","35.18.19","Loceret","35.18.04","Tanjunganom","35.18.11","Wilangan","35.18.15")</f>
        <v>35.18.11</v>
      </c>
      <c r="E1276" s="13" t="s">
        <v>27</v>
      </c>
      <c r="F1276" s="14" t="s">
        <v>2169</v>
      </c>
      <c r="G1276" s="14" t="s">
        <v>2170</v>
      </c>
      <c r="H1276" s="67" t="s">
        <v>9</v>
      </c>
      <c r="I1276" s="14" t="s">
        <v>2046</v>
      </c>
      <c r="J1276" s="62">
        <v>5000</v>
      </c>
      <c r="K1276" s="61" t="s">
        <v>22</v>
      </c>
      <c r="L1276" s="64">
        <f>J1276*2500</f>
        <v>12500000</v>
      </c>
    </row>
    <row r="1277" spans="1:15" ht="20" x14ac:dyDescent="0.2">
      <c r="A1277" s="14" t="s">
        <v>2986</v>
      </c>
      <c r="B1277" s="14" t="s">
        <v>18</v>
      </c>
      <c r="C1277" s="14">
        <v>2025</v>
      </c>
      <c r="D1277" s="14" t="str">
        <f t="array" ref="D1277">_xlfn.SWITCH(E1277,"Jatikalen","35.18.20","Kertosono", "35.18.08","Lengkong","35.18.19","Loceret","35.18.04","Tanjunganom","35.18.11","Wilangan","35.18.15")</f>
        <v>35.18.19</v>
      </c>
      <c r="E1277" s="13" t="s">
        <v>30</v>
      </c>
      <c r="F1277" s="14" t="s">
        <v>2171</v>
      </c>
      <c r="G1277" s="14" t="s">
        <v>2172</v>
      </c>
      <c r="H1277" s="67" t="s">
        <v>9</v>
      </c>
      <c r="I1277" s="14" t="s">
        <v>2094</v>
      </c>
      <c r="J1277" s="62">
        <v>200</v>
      </c>
      <c r="K1277" s="61" t="s">
        <v>217</v>
      </c>
      <c r="L1277" s="64">
        <f>J1277*55000</f>
        <v>11000000</v>
      </c>
    </row>
    <row r="1278" spans="1:15" s="93" customFormat="1" ht="20" x14ac:dyDescent="0.35">
      <c r="A1278" s="14" t="s">
        <v>2986</v>
      </c>
      <c r="B1278" s="14" t="s">
        <v>18</v>
      </c>
      <c r="C1278" s="14">
        <v>2025</v>
      </c>
      <c r="D1278" s="14" t="str">
        <f t="array" ref="D1278">_xlfn.SWITCH(E1278,"Jatikalen","35.18.20","Kertosono", "35.18.08","Lengkong","35.18.19","Loceret","35.18.04","Tanjunganom","35.18.11","Wilangan","35.18.15")</f>
        <v>35.18.04</v>
      </c>
      <c r="E1278" s="85" t="s">
        <v>15</v>
      </c>
      <c r="F1278" s="86" t="s">
        <v>2173</v>
      </c>
      <c r="G1278" s="86" t="s">
        <v>2174</v>
      </c>
      <c r="H1278" s="87" t="s">
        <v>9</v>
      </c>
      <c r="I1278" s="88" t="s">
        <v>1846</v>
      </c>
      <c r="J1278" s="89">
        <v>600</v>
      </c>
      <c r="K1278" s="90" t="s">
        <v>1938</v>
      </c>
      <c r="L1278" s="91">
        <f>J1278*5000</f>
        <v>3000000</v>
      </c>
      <c r="M1278" s="92"/>
      <c r="O1278" s="94"/>
    </row>
    <row r="1279" spans="1:15" ht="20" x14ac:dyDescent="0.2">
      <c r="A1279" s="14" t="s">
        <v>2986</v>
      </c>
      <c r="B1279" s="14" t="s">
        <v>18</v>
      </c>
      <c r="C1279" s="14">
        <v>2025</v>
      </c>
      <c r="D1279" s="14" t="str">
        <f t="array" ref="D1279">_xlfn.SWITCH(E1279,"Bagor","35.18.14","Sukomoro",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9" s="13" t="s">
        <v>72</v>
      </c>
      <c r="F1279" s="14" t="s">
        <v>2175</v>
      </c>
      <c r="G1279" s="14" t="s">
        <v>2176</v>
      </c>
      <c r="H1279" s="67" t="s">
        <v>9</v>
      </c>
      <c r="I1279" s="14" t="s">
        <v>2094</v>
      </c>
      <c r="J1279" s="62">
        <v>200</v>
      </c>
      <c r="K1279" s="61" t="s">
        <v>217</v>
      </c>
      <c r="L1279" s="64">
        <f>J1279*55000</f>
        <v>11000000</v>
      </c>
    </row>
    <row r="1280" spans="1:15" ht="20" x14ac:dyDescent="0.2">
      <c r="A1280" s="14" t="s">
        <v>2986</v>
      </c>
      <c r="B1280" s="14" t="s">
        <v>18</v>
      </c>
      <c r="C1280" s="14">
        <v>2025</v>
      </c>
      <c r="D1280" s="14" t="str">
        <f t="array" ref="D1280">_xlfn.SWITCH(E1280,"Bagor","35.18.14","Sukomoro",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0" s="13" t="s">
        <v>102</v>
      </c>
      <c r="F1280" s="14" t="s">
        <v>2177</v>
      </c>
      <c r="G1280" s="14" t="s">
        <v>2178</v>
      </c>
      <c r="H1280" s="67" t="s">
        <v>9</v>
      </c>
      <c r="I1280" s="14" t="s">
        <v>2094</v>
      </c>
      <c r="J1280" s="62">
        <v>200</v>
      </c>
      <c r="K1280" s="61" t="s">
        <v>217</v>
      </c>
      <c r="L1280" s="64">
        <f>J1280*55000</f>
        <v>11000000</v>
      </c>
    </row>
    <row r="1281" spans="1:67" ht="20" x14ac:dyDescent="0.2">
      <c r="A1281" s="14" t="s">
        <v>2986</v>
      </c>
      <c r="B1281" s="14" t="s">
        <v>18</v>
      </c>
      <c r="C1281" s="14">
        <v>2025</v>
      </c>
      <c r="D1281" s="14" t="str">
        <f t="array" ref="D1281">_xlfn.SWITCH(E1281,"Bagor","35.18.14","Sukomoro",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81" s="13" t="s">
        <v>1902</v>
      </c>
      <c r="F1281" s="14" t="s">
        <v>2179</v>
      </c>
      <c r="G1281" s="14" t="s">
        <v>2180</v>
      </c>
      <c r="H1281" s="67" t="s">
        <v>9</v>
      </c>
      <c r="I1281" s="14" t="s">
        <v>2094</v>
      </c>
      <c r="J1281" s="62">
        <v>200</v>
      </c>
      <c r="K1281" s="61" t="s">
        <v>217</v>
      </c>
      <c r="L1281" s="64">
        <f>J1281*55000</f>
        <v>11000000</v>
      </c>
    </row>
    <row r="1282" spans="1:67" x14ac:dyDescent="0.2">
      <c r="A1282" s="14" t="s">
        <v>2986</v>
      </c>
      <c r="B1282" s="14" t="s">
        <v>18</v>
      </c>
      <c r="C1282" s="14">
        <v>2025</v>
      </c>
      <c r="D1282" s="14" t="str">
        <f t="array" ref="D1282">_xlfn.SWITCH(E1282,"Jatikalen","35.18.20","Kertosono", "35.18.08","Lengkong","35.18.19","Loceret","35.18.04","Tanjunganom","35.18.11","Wilangan","35.18.15")</f>
        <v>35.18.04</v>
      </c>
      <c r="E1282" s="13" t="s">
        <v>15</v>
      </c>
      <c r="F1282" s="14" t="s">
        <v>2181</v>
      </c>
      <c r="G1282" s="14" t="s">
        <v>2182</v>
      </c>
      <c r="H1282" s="67" t="s">
        <v>9</v>
      </c>
      <c r="I1282" s="14" t="s">
        <v>2094</v>
      </c>
      <c r="J1282" s="62">
        <v>200</v>
      </c>
      <c r="K1282" s="61" t="s">
        <v>217</v>
      </c>
      <c r="L1282" s="64">
        <f>J1282*55000</f>
        <v>11000000</v>
      </c>
    </row>
    <row r="1283" spans="1:67" ht="20" x14ac:dyDescent="0.2">
      <c r="A1283" s="14" t="s">
        <v>2986</v>
      </c>
      <c r="B1283" s="14" t="s">
        <v>18</v>
      </c>
      <c r="C1283" s="14">
        <v>2025</v>
      </c>
      <c r="D1283" s="14" t="str">
        <f t="array" ref="D1283">_xlfn.SWITCH(E1283,"Jatikalen","35.18.20","Kertosono", "35.18.08","Lengkong","35.18.19","Loceret","35.18.04","Tanjunganom","35.18.11","Wilangan","35.18.15")</f>
        <v>35.18.04</v>
      </c>
      <c r="E1283" s="13" t="s">
        <v>15</v>
      </c>
      <c r="F1283" s="14" t="s">
        <v>2183</v>
      </c>
      <c r="G1283" s="14" t="s">
        <v>2184</v>
      </c>
      <c r="H1283" s="67" t="s">
        <v>9</v>
      </c>
      <c r="I1283" s="14" t="s">
        <v>2185</v>
      </c>
      <c r="J1283" s="62"/>
      <c r="K1283" s="61"/>
      <c r="L1283" s="64"/>
    </row>
    <row r="1284" spans="1:67" s="1" customFormat="1" x14ac:dyDescent="0.2">
      <c r="A1284" s="14" t="s">
        <v>2986</v>
      </c>
      <c r="B1284" s="14" t="s">
        <v>18</v>
      </c>
      <c r="C1284" s="14">
        <v>2025</v>
      </c>
      <c r="D1284" s="14" t="str">
        <f t="array" ref="D1284">_xlfn.SWITCH(E1284,"Jatikalen","35.18.20","Kertosono", "35.18.08","Lengkong","35.18.19","Loceret","35.18.04","Tanjunganom","35.18.11","Wilangan","35.18.15")</f>
        <v>35.18.08</v>
      </c>
      <c r="E1284" s="13" t="s">
        <v>75</v>
      </c>
      <c r="F1284" s="14" t="s">
        <v>2186</v>
      </c>
      <c r="G1284" s="14" t="s">
        <v>2187</v>
      </c>
      <c r="H1284" s="67" t="s">
        <v>9</v>
      </c>
      <c r="I1284" s="14" t="s">
        <v>2148</v>
      </c>
      <c r="J1284" s="62">
        <v>5000</v>
      </c>
      <c r="K1284" s="61" t="s">
        <v>217</v>
      </c>
      <c r="L1284" s="64">
        <v>15000000</v>
      </c>
      <c r="N1284" s="2"/>
      <c r="O1284" s="3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</row>
    <row r="1285" spans="1:67" s="1" customFormat="1" x14ac:dyDescent="0.2">
      <c r="A1285" s="14" t="s">
        <v>2986</v>
      </c>
      <c r="B1285" s="14" t="s">
        <v>18</v>
      </c>
      <c r="C1285" s="14">
        <v>2025</v>
      </c>
      <c r="D1285" s="14" t="str">
        <f t="array" ref="D1285">_xlfn.SWITCH(E1285,"Jatikalen","35.18.20","Kertosono", "35.18.08","Lengkong","35.18.19","Loceret","35.18.04","Tanjunganom","35.18.11","Wilangan","35.18.15")</f>
        <v>35.18.08</v>
      </c>
      <c r="E1285" s="13" t="s">
        <v>75</v>
      </c>
      <c r="F1285" s="14" t="s">
        <v>2186</v>
      </c>
      <c r="G1285" s="14" t="s">
        <v>2188</v>
      </c>
      <c r="H1285" s="67" t="s">
        <v>9</v>
      </c>
      <c r="I1285" s="14" t="s">
        <v>2148</v>
      </c>
      <c r="J1285" s="62">
        <v>5000</v>
      </c>
      <c r="K1285" s="61" t="s">
        <v>217</v>
      </c>
      <c r="L1285" s="64">
        <v>15000000</v>
      </c>
      <c r="N1285" s="2"/>
      <c r="O1285" s="3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</row>
    <row r="1286" spans="1:67" s="1" customFormat="1" ht="20" x14ac:dyDescent="0.2">
      <c r="A1286" s="14" t="s">
        <v>2986</v>
      </c>
      <c r="B1286" s="14" t="s">
        <v>18</v>
      </c>
      <c r="C1286" s="14">
        <v>2025</v>
      </c>
      <c r="D1286" s="14" t="str">
        <f t="array" ref="D1286">_xlfn.SWITCH(E1286,"Jatikalen","35.18.20","Kertosono", "35.18.08","Lengkong","35.18.19","Loceret","35.18.04","Tanjunganom","35.18.11","Wilangan","35.18.15")</f>
        <v>35.18.08</v>
      </c>
      <c r="E1286" s="13" t="s">
        <v>75</v>
      </c>
      <c r="F1286" s="14" t="s">
        <v>2189</v>
      </c>
      <c r="G1286" s="14" t="s">
        <v>2190</v>
      </c>
      <c r="H1286" s="67" t="s">
        <v>9</v>
      </c>
      <c r="I1286" s="14" t="s">
        <v>2046</v>
      </c>
      <c r="J1286" s="62">
        <v>5000</v>
      </c>
      <c r="K1286" s="61" t="s">
        <v>22</v>
      </c>
      <c r="L1286" s="64">
        <f>J1286*2500</f>
        <v>12500000</v>
      </c>
      <c r="N1286" s="2"/>
      <c r="O1286" s="3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</row>
    <row r="1287" spans="1:67" s="1" customFormat="1" ht="20" x14ac:dyDescent="0.2">
      <c r="A1287" s="14" t="s">
        <v>2986</v>
      </c>
      <c r="B1287" s="14" t="s">
        <v>18</v>
      </c>
      <c r="C1287" s="14">
        <v>2025</v>
      </c>
      <c r="D1287" s="14" t="str">
        <f t="array" ref="D1287">_xlfn.SWITCH(E1287,"Bagor","35.18.14","Sukomoro",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7" s="13" t="s">
        <v>102</v>
      </c>
      <c r="F1287" s="14" t="s">
        <v>2191</v>
      </c>
      <c r="G1287" s="14" t="s">
        <v>2192</v>
      </c>
      <c r="H1287" s="67" t="s">
        <v>9</v>
      </c>
      <c r="I1287" s="14" t="s">
        <v>2094</v>
      </c>
      <c r="J1287" s="62">
        <v>200</v>
      </c>
      <c r="K1287" s="61" t="s">
        <v>217</v>
      </c>
      <c r="L1287" s="64">
        <f>J1287*55000</f>
        <v>11000000</v>
      </c>
      <c r="N1287" s="2"/>
      <c r="O1287" s="3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</row>
    <row r="1288" spans="1:67" s="1" customFormat="1" ht="20" x14ac:dyDescent="0.2">
      <c r="A1288" s="14" t="s">
        <v>2986</v>
      </c>
      <c r="B1288" s="14" t="s">
        <v>18</v>
      </c>
      <c r="C1288" s="14">
        <v>2025</v>
      </c>
      <c r="D1288" s="14" t="str">
        <f t="array" ref="D1288">_xlfn.SWITCH(E1288,"Bagor","35.18.14","Sukomoro",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288" s="13" t="s">
        <v>7</v>
      </c>
      <c r="F1288" s="14" t="s">
        <v>2193</v>
      </c>
      <c r="G1288" s="14" t="s">
        <v>2194</v>
      </c>
      <c r="H1288" s="67" t="s">
        <v>9</v>
      </c>
      <c r="I1288" s="14" t="s">
        <v>2195</v>
      </c>
      <c r="J1288" s="62"/>
      <c r="K1288" s="61" t="s">
        <v>1938</v>
      </c>
      <c r="L1288" s="64"/>
      <c r="N1288" s="2"/>
      <c r="O1288" s="3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</row>
    <row r="1289" spans="1:67" s="1" customFormat="1" ht="20" x14ac:dyDescent="0.2">
      <c r="A1289" s="14" t="s">
        <v>2986</v>
      </c>
      <c r="B1289" s="14" t="s">
        <v>18</v>
      </c>
      <c r="C1289" s="14">
        <v>2025</v>
      </c>
      <c r="D1289" s="14" t="str">
        <f t="array" ref="D1289">_xlfn.SWITCH(E1289,"Bagor","35.18.14","Sukomoro",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9" s="13" t="s">
        <v>18</v>
      </c>
      <c r="F1289" s="14" t="s">
        <v>2196</v>
      </c>
      <c r="G1289" s="14" t="s">
        <v>2197</v>
      </c>
      <c r="H1289" s="67" t="s">
        <v>9</v>
      </c>
      <c r="I1289" s="14" t="s">
        <v>2054</v>
      </c>
      <c r="J1289" s="62">
        <v>250</v>
      </c>
      <c r="K1289" s="61" t="s">
        <v>217</v>
      </c>
      <c r="L1289" s="64">
        <f>J1289*60000</f>
        <v>15000000</v>
      </c>
      <c r="N1289" s="2"/>
      <c r="O1289" s="3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</row>
    <row r="1290" spans="1:67" s="1" customFormat="1" ht="20" x14ac:dyDescent="0.2">
      <c r="A1290" s="14" t="s">
        <v>2986</v>
      </c>
      <c r="B1290" s="14" t="s">
        <v>18</v>
      </c>
      <c r="C1290" s="14">
        <v>2025</v>
      </c>
      <c r="D1290" s="14" t="str">
        <f t="array" ref="D1290">_xlfn.SWITCH(E1290,"Bagor","35.18.14","Sukomoro",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0" s="13" t="s">
        <v>18</v>
      </c>
      <c r="F1290" s="14" t="s">
        <v>2198</v>
      </c>
      <c r="G1290" s="14" t="s">
        <v>2199</v>
      </c>
      <c r="H1290" s="67" t="s">
        <v>9</v>
      </c>
      <c r="I1290" s="14" t="s">
        <v>2200</v>
      </c>
      <c r="J1290" s="62"/>
      <c r="K1290" s="61" t="s">
        <v>700</v>
      </c>
      <c r="L1290" s="64"/>
      <c r="N1290" s="2"/>
      <c r="O1290" s="3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</row>
    <row r="1291" spans="1:67" s="1" customFormat="1" ht="20" x14ac:dyDescent="0.2">
      <c r="A1291" s="14" t="s">
        <v>2986</v>
      </c>
      <c r="B1291" s="14" t="s">
        <v>18</v>
      </c>
      <c r="C1291" s="14">
        <v>2025</v>
      </c>
      <c r="D1291" s="14" t="str">
        <f t="array" ref="D1291">_xlfn.SWITCH(E1291,"Bagor","35.18.14","Sukomoro",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1" s="13" t="s">
        <v>18</v>
      </c>
      <c r="F1291" s="14" t="s">
        <v>2201</v>
      </c>
      <c r="G1291" s="14" t="s">
        <v>2202</v>
      </c>
      <c r="H1291" s="67" t="s">
        <v>9</v>
      </c>
      <c r="I1291" s="14" t="s">
        <v>2203</v>
      </c>
      <c r="J1291" s="62"/>
      <c r="K1291" s="61" t="s">
        <v>700</v>
      </c>
      <c r="L1291" s="64"/>
      <c r="N1291" s="2"/>
      <c r="O1291" s="3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</row>
    <row r="1292" spans="1:67" s="1" customFormat="1" ht="30" x14ac:dyDescent="0.2">
      <c r="A1292" s="14" t="s">
        <v>2986</v>
      </c>
      <c r="B1292" s="14" t="s">
        <v>18</v>
      </c>
      <c r="C1292" s="14">
        <v>2025</v>
      </c>
      <c r="D1292" s="14" t="str">
        <f t="array" ref="D1292">_xlfn.SWITCH(E1292,"Bagor","35.18.14","Sukomoro",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2" s="13" t="s">
        <v>18</v>
      </c>
      <c r="F1292" s="14" t="s">
        <v>2204</v>
      </c>
      <c r="G1292" s="14" t="s">
        <v>2205</v>
      </c>
      <c r="H1292" s="67" t="s">
        <v>9</v>
      </c>
      <c r="I1292" s="14" t="s">
        <v>2054</v>
      </c>
      <c r="J1292" s="62">
        <v>250</v>
      </c>
      <c r="K1292" s="61" t="s">
        <v>217</v>
      </c>
      <c r="L1292" s="64">
        <f>J1292*60000</f>
        <v>15000000</v>
      </c>
      <c r="N1292" s="2"/>
      <c r="O1292" s="3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</row>
    <row r="1293" spans="1:67" s="1" customFormat="1" ht="20" x14ac:dyDescent="0.2">
      <c r="A1293" s="14" t="s">
        <v>2986</v>
      </c>
      <c r="B1293" s="14" t="s">
        <v>18</v>
      </c>
      <c r="C1293" s="14">
        <v>2025</v>
      </c>
      <c r="D1293" s="14" t="str">
        <f t="array" ref="D1293">_xlfn.SWITCH(E1293,"Bagor","35.18.14","Sukomoro",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3" s="13" t="s">
        <v>18</v>
      </c>
      <c r="F1293" s="14" t="s">
        <v>2206</v>
      </c>
      <c r="G1293" s="14" t="s">
        <v>2207</v>
      </c>
      <c r="H1293" s="67" t="s">
        <v>9</v>
      </c>
      <c r="I1293" s="14" t="s">
        <v>2208</v>
      </c>
      <c r="J1293" s="62"/>
      <c r="K1293" s="61" t="s">
        <v>2209</v>
      </c>
      <c r="L1293" s="64"/>
      <c r="N1293" s="2"/>
      <c r="O1293" s="3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</row>
    <row r="1294" spans="1:67" s="1" customFormat="1" ht="20" x14ac:dyDescent="0.2">
      <c r="A1294" s="14" t="s">
        <v>2986</v>
      </c>
      <c r="B1294" s="14" t="s">
        <v>18</v>
      </c>
      <c r="C1294" s="14">
        <v>2025</v>
      </c>
      <c r="D1294" s="14" t="str">
        <f t="array" ref="D1294">_xlfn.SWITCH(E1294,"Bagor","35.18.14","Sukomoro",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94" s="13" t="s">
        <v>72</v>
      </c>
      <c r="F1294" s="14" t="s">
        <v>2210</v>
      </c>
      <c r="G1294" s="14" t="s">
        <v>2211</v>
      </c>
      <c r="H1294" s="67" t="s">
        <v>9</v>
      </c>
      <c r="I1294" s="14" t="s">
        <v>2212</v>
      </c>
      <c r="J1294" s="62"/>
      <c r="K1294" s="61"/>
      <c r="L1294" s="64"/>
      <c r="N1294" s="2"/>
      <c r="O1294" s="3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</row>
    <row r="1295" spans="1:67" s="1" customFormat="1" ht="20" x14ac:dyDescent="0.2">
      <c r="A1295" s="14" t="s">
        <v>2986</v>
      </c>
      <c r="B1295" s="14" t="s">
        <v>18</v>
      </c>
      <c r="C1295" s="14">
        <v>2025</v>
      </c>
      <c r="D1295" s="14" t="str">
        <f t="array" ref="D1295">_xlfn.SWITCH(E1295,"Bagor","35.18.14","Sukomoro",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5" s="13" t="s">
        <v>119</v>
      </c>
      <c r="F1295" s="14" t="s">
        <v>2213</v>
      </c>
      <c r="G1295" s="14" t="s">
        <v>2214</v>
      </c>
      <c r="H1295" s="67" t="s">
        <v>9</v>
      </c>
      <c r="I1295" s="14" t="s">
        <v>2080</v>
      </c>
      <c r="J1295" s="62">
        <v>750</v>
      </c>
      <c r="K1295" s="13" t="s">
        <v>700</v>
      </c>
      <c r="L1295" s="64">
        <v>18000000</v>
      </c>
      <c r="N1295" s="2"/>
      <c r="O1295" s="3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</row>
    <row r="1296" spans="1:67" s="1" customFormat="1" ht="20" x14ac:dyDescent="0.2">
      <c r="A1296" s="14" t="s">
        <v>2986</v>
      </c>
      <c r="B1296" s="14" t="s">
        <v>18</v>
      </c>
      <c r="C1296" s="14">
        <v>2025</v>
      </c>
      <c r="D1296" s="14" t="str">
        <f t="array" ref="D1296">_xlfn.SWITCH(E1296,"Bagor","35.18.14","Sukomoro",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6" s="13" t="s">
        <v>119</v>
      </c>
      <c r="F1296" s="14" t="s">
        <v>2215</v>
      </c>
      <c r="G1296" s="14" t="s">
        <v>2216</v>
      </c>
      <c r="H1296" s="67" t="s">
        <v>9</v>
      </c>
      <c r="I1296" s="14" t="s">
        <v>2046</v>
      </c>
      <c r="J1296" s="62">
        <v>5000</v>
      </c>
      <c r="K1296" s="61" t="s">
        <v>22</v>
      </c>
      <c r="L1296" s="64">
        <f>J1296*2500</f>
        <v>12500000</v>
      </c>
      <c r="N1296" s="2"/>
      <c r="O1296" s="3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</row>
    <row r="1297" spans="1:67" s="1" customFormat="1" ht="20" x14ac:dyDescent="0.2">
      <c r="A1297" s="14" t="s">
        <v>2986</v>
      </c>
      <c r="B1297" s="14" t="s">
        <v>18</v>
      </c>
      <c r="C1297" s="14">
        <v>2025</v>
      </c>
      <c r="D1297" s="14" t="str">
        <f t="array" ref="D1297">_xlfn.SWITCH(E1297,"Bagor","35.18.14","Sukomoro",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7" s="13" t="s">
        <v>18</v>
      </c>
      <c r="F1297" s="14" t="s">
        <v>2217</v>
      </c>
      <c r="G1297" s="14" t="s">
        <v>2218</v>
      </c>
      <c r="H1297" s="67" t="s">
        <v>9</v>
      </c>
      <c r="I1297" s="14" t="s">
        <v>2054</v>
      </c>
      <c r="J1297" s="62">
        <v>250</v>
      </c>
      <c r="K1297" s="61" t="s">
        <v>217</v>
      </c>
      <c r="L1297" s="64">
        <f>J1297*60000</f>
        <v>15000000</v>
      </c>
      <c r="N1297" s="2"/>
      <c r="O1297" s="3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</row>
    <row r="1298" spans="1:67" s="1" customFormat="1" ht="20" x14ac:dyDescent="0.2">
      <c r="A1298" s="14" t="s">
        <v>2986</v>
      </c>
      <c r="B1298" s="14" t="s">
        <v>18</v>
      </c>
      <c r="C1298" s="14">
        <v>2025</v>
      </c>
      <c r="D1298" s="14" t="str">
        <f t="array" ref="D1298">_xlfn.SWITCH(E1298,"Bagor","35.18.14","Sukomoro",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98" s="13" t="s">
        <v>24</v>
      </c>
      <c r="F1298" s="14" t="s">
        <v>2219</v>
      </c>
      <c r="G1298" s="14" t="s">
        <v>2220</v>
      </c>
      <c r="H1298" s="67" t="s">
        <v>9</v>
      </c>
      <c r="I1298" s="14" t="s">
        <v>1698</v>
      </c>
      <c r="J1298" s="62"/>
      <c r="K1298" s="61"/>
      <c r="L1298" s="64">
        <v>7000000</v>
      </c>
      <c r="N1298" s="2"/>
      <c r="O1298" s="3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</row>
    <row r="1299" spans="1:67" s="1" customFormat="1" ht="20" x14ac:dyDescent="0.2">
      <c r="A1299" s="14" t="s">
        <v>2986</v>
      </c>
      <c r="B1299" s="14" t="s">
        <v>18</v>
      </c>
      <c r="C1299" s="14">
        <v>2025</v>
      </c>
      <c r="D1299" s="14" t="str">
        <f t="array" ref="D1299">_xlfn.SWITCH(E1299,"Bagor","35.18.14","Sukomoro",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99" s="13" t="s">
        <v>98</v>
      </c>
      <c r="F1299" s="14" t="s">
        <v>2221</v>
      </c>
      <c r="G1299" s="14" t="s">
        <v>2222</v>
      </c>
      <c r="H1299" s="67" t="s">
        <v>9</v>
      </c>
      <c r="I1299" s="14" t="s">
        <v>2200</v>
      </c>
      <c r="J1299" s="62"/>
      <c r="K1299" s="61" t="s">
        <v>700</v>
      </c>
      <c r="L1299" s="64">
        <v>5000000</v>
      </c>
      <c r="N1299" s="2"/>
      <c r="O1299" s="3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</row>
    <row r="1300" spans="1:67" ht="20" x14ac:dyDescent="0.2">
      <c r="A1300" s="14" t="s">
        <v>2986</v>
      </c>
      <c r="B1300" s="14" t="s">
        <v>18</v>
      </c>
      <c r="C1300" s="14">
        <v>2025</v>
      </c>
      <c r="D1300" s="14" t="str">
        <f t="array" ref="D1300">_xlfn.SWITCH(E1300,"Bagor","35.18.14","Sukomoro",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0" s="13" t="s">
        <v>18</v>
      </c>
      <c r="F1300" s="14" t="s">
        <v>2223</v>
      </c>
      <c r="G1300" s="14" t="s">
        <v>2224</v>
      </c>
      <c r="H1300" s="67" t="s">
        <v>9</v>
      </c>
      <c r="I1300" s="14" t="s">
        <v>2046</v>
      </c>
      <c r="J1300" s="62">
        <v>5000</v>
      </c>
      <c r="K1300" s="61" t="s">
        <v>22</v>
      </c>
      <c r="L1300" s="64">
        <f>J1300*2500</f>
        <v>12500000</v>
      </c>
    </row>
    <row r="1301" spans="1:67" ht="20" x14ac:dyDescent="0.2">
      <c r="A1301" s="14" t="s">
        <v>2986</v>
      </c>
      <c r="B1301" s="14" t="s">
        <v>18</v>
      </c>
      <c r="C1301" s="14">
        <v>2025</v>
      </c>
      <c r="D1301" s="14" t="str">
        <f t="array" ref="D1301">_xlfn.SWITCH(E1301,"Bagor","35.18.14","Sukomoro",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1" s="13" t="s">
        <v>98</v>
      </c>
      <c r="F1301" s="14" t="s">
        <v>2225</v>
      </c>
      <c r="G1301" s="14" t="s">
        <v>2226</v>
      </c>
      <c r="H1301" s="67" t="s">
        <v>9</v>
      </c>
      <c r="I1301" s="14" t="s">
        <v>2046</v>
      </c>
      <c r="J1301" s="62">
        <v>5000</v>
      </c>
      <c r="K1301" s="61" t="s">
        <v>22</v>
      </c>
      <c r="L1301" s="64">
        <f>J1301*2500</f>
        <v>12500000</v>
      </c>
    </row>
    <row r="1302" spans="1:67" ht="20" x14ac:dyDescent="0.2">
      <c r="A1302" s="14" t="s">
        <v>2986</v>
      </c>
      <c r="B1302" s="14" t="s">
        <v>18</v>
      </c>
      <c r="C1302" s="14">
        <v>2025</v>
      </c>
      <c r="D1302" s="14" t="str">
        <f t="array" ref="D1302">_xlfn.SWITCH(E1302,"Bagor","35.18.14","Sukomoro",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2" s="13" t="s">
        <v>98</v>
      </c>
      <c r="F1302" s="14" t="s">
        <v>2227</v>
      </c>
      <c r="G1302" s="14" t="s">
        <v>2228</v>
      </c>
      <c r="H1302" s="67" t="s">
        <v>9</v>
      </c>
      <c r="I1302" s="14" t="s">
        <v>2046</v>
      </c>
      <c r="J1302" s="62">
        <v>5000</v>
      </c>
      <c r="K1302" s="61" t="s">
        <v>22</v>
      </c>
      <c r="L1302" s="64">
        <f>J1302*2500</f>
        <v>12500000</v>
      </c>
    </row>
    <row r="1303" spans="1:67" ht="20" x14ac:dyDescent="0.2">
      <c r="A1303" s="14" t="s">
        <v>2986</v>
      </c>
      <c r="B1303" s="14" t="s">
        <v>18</v>
      </c>
      <c r="C1303" s="14">
        <v>2025</v>
      </c>
      <c r="D1303" s="14" t="str">
        <f t="array" ref="D1303">_xlfn.SWITCH(E1303,"Bagor","35.18.14","Sukomoro",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3" s="13" t="s">
        <v>98</v>
      </c>
      <c r="F1303" s="14" t="s">
        <v>2229</v>
      </c>
      <c r="G1303" s="14" t="s">
        <v>2230</v>
      </c>
      <c r="H1303" s="67" t="s">
        <v>9</v>
      </c>
      <c r="I1303" s="14" t="s">
        <v>2231</v>
      </c>
      <c r="J1303" s="62"/>
      <c r="K1303" s="61" t="s">
        <v>2232</v>
      </c>
      <c r="L1303" s="64"/>
    </row>
    <row r="1304" spans="1:67" ht="20" x14ac:dyDescent="0.2">
      <c r="A1304" s="14" t="s">
        <v>2986</v>
      </c>
      <c r="B1304" s="14" t="s">
        <v>18</v>
      </c>
      <c r="C1304" s="14">
        <v>2025</v>
      </c>
      <c r="D1304" s="14" t="str">
        <f t="array" ref="D1304">_xlfn.SWITCH(E1304,"Jatikalen","35.18.20","Kertosono", "35.18.08","Lengkong","35.18.19","Loceret","35.18.04","Tanjunganom","35.18.11","Wilangan","35.18.15")</f>
        <v>35.18.04</v>
      </c>
      <c r="E1304" s="13" t="s">
        <v>15</v>
      </c>
      <c r="F1304" s="14" t="s">
        <v>2233</v>
      </c>
      <c r="G1304" s="14" t="s">
        <v>2234</v>
      </c>
      <c r="H1304" s="67" t="s">
        <v>9</v>
      </c>
      <c r="I1304" s="14" t="s">
        <v>2235</v>
      </c>
      <c r="J1304" s="62"/>
      <c r="K1304" s="61" t="s">
        <v>2232</v>
      </c>
      <c r="L1304" s="64"/>
    </row>
    <row r="1305" spans="1:67" x14ac:dyDescent="0.2">
      <c r="A1305" s="14" t="s">
        <v>2986</v>
      </c>
      <c r="B1305" s="14" t="s">
        <v>18</v>
      </c>
      <c r="C1305" s="14">
        <v>2025</v>
      </c>
      <c r="D1305" s="14" t="str">
        <f t="array" ref="D1305">_xlfn.SWITCH(E1305,"Bagor","35.18.14","Sukomoro",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5" s="13" t="s">
        <v>18</v>
      </c>
      <c r="F1305" s="14" t="s">
        <v>2236</v>
      </c>
      <c r="G1305" s="14" t="s">
        <v>2237</v>
      </c>
      <c r="H1305" s="67" t="s">
        <v>9</v>
      </c>
      <c r="I1305" s="14" t="s">
        <v>2046</v>
      </c>
      <c r="J1305" s="62">
        <v>5000</v>
      </c>
      <c r="K1305" s="61" t="s">
        <v>22</v>
      </c>
      <c r="L1305" s="64">
        <f>J1305*2500</f>
        <v>12500000</v>
      </c>
    </row>
    <row r="1306" spans="1:67" ht="20" x14ac:dyDescent="0.2">
      <c r="A1306" s="14" t="s">
        <v>2986</v>
      </c>
      <c r="B1306" s="14" t="s">
        <v>18</v>
      </c>
      <c r="C1306" s="14">
        <v>2025</v>
      </c>
      <c r="D1306" s="14" t="str">
        <f t="array" ref="D1306">_xlfn.SWITCH(E1306,"Bagor","35.18.14","Sukomoro",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06" s="13" t="s">
        <v>57</v>
      </c>
      <c r="F1306" s="14" t="s">
        <v>2238</v>
      </c>
      <c r="G1306" s="14" t="s">
        <v>2239</v>
      </c>
      <c r="H1306" s="67" t="s">
        <v>9</v>
      </c>
      <c r="I1306" s="14" t="s">
        <v>2080</v>
      </c>
      <c r="J1306" s="62">
        <v>750</v>
      </c>
      <c r="K1306" s="13" t="s">
        <v>700</v>
      </c>
      <c r="L1306" s="64">
        <v>18000000</v>
      </c>
    </row>
    <row r="1307" spans="1:67" x14ac:dyDescent="0.2">
      <c r="A1307" s="14" t="s">
        <v>2986</v>
      </c>
      <c r="B1307" s="14" t="s">
        <v>18</v>
      </c>
      <c r="C1307" s="14">
        <v>2025</v>
      </c>
      <c r="D1307" s="14" t="str">
        <f t="array" ref="D1307">_xlfn.SWITCH(E1307,"Bagor","35.18.14","Sukomoro",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07" s="13" t="s">
        <v>72</v>
      </c>
      <c r="F1307" s="14" t="s">
        <v>2240</v>
      </c>
      <c r="G1307" s="14" t="s">
        <v>2241</v>
      </c>
      <c r="H1307" s="67" t="s">
        <v>9</v>
      </c>
      <c r="I1307" s="14" t="s">
        <v>2242</v>
      </c>
      <c r="J1307" s="62"/>
      <c r="K1307" s="61" t="s">
        <v>700</v>
      </c>
      <c r="L1307" s="64"/>
    </row>
    <row r="1308" spans="1:67" ht="20" x14ac:dyDescent="0.2">
      <c r="A1308" s="14" t="s">
        <v>2986</v>
      </c>
      <c r="B1308" s="14" t="s">
        <v>18</v>
      </c>
      <c r="C1308" s="14">
        <v>2025</v>
      </c>
      <c r="D1308" s="14" t="str">
        <f t="array" ref="D1308">_xlfn.SWITCH(E1308,"Bagor","35.18.14","Sukomoro",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8" s="13" t="s">
        <v>18</v>
      </c>
      <c r="F1308" s="14" t="s">
        <v>2243</v>
      </c>
      <c r="G1308" s="14" t="s">
        <v>2244</v>
      </c>
      <c r="H1308" s="67" t="s">
        <v>9</v>
      </c>
      <c r="I1308" s="14" t="s">
        <v>2046</v>
      </c>
      <c r="J1308" s="62">
        <v>5000</v>
      </c>
      <c r="K1308" s="61" t="s">
        <v>22</v>
      </c>
      <c r="L1308" s="64">
        <f>J1308*2500</f>
        <v>12500000</v>
      </c>
    </row>
    <row r="1309" spans="1:67" x14ac:dyDescent="0.2">
      <c r="A1309" s="14" t="s">
        <v>2986</v>
      </c>
      <c r="B1309" s="14" t="s">
        <v>18</v>
      </c>
      <c r="C1309" s="14">
        <v>2025</v>
      </c>
      <c r="D1309" s="14" t="str">
        <f t="array" ref="D1309">_xlfn.SWITCH(E1309,"Bagor","35.18.14","Sukomoro",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09" s="13" t="s">
        <v>84</v>
      </c>
      <c r="F1309" s="14" t="s">
        <v>2245</v>
      </c>
      <c r="G1309" s="14" t="s">
        <v>2246</v>
      </c>
      <c r="H1309" s="67" t="s">
        <v>9</v>
      </c>
      <c r="I1309" s="14" t="s">
        <v>2094</v>
      </c>
      <c r="J1309" s="62">
        <v>200</v>
      </c>
      <c r="K1309" s="61" t="s">
        <v>217</v>
      </c>
      <c r="L1309" s="64">
        <f>J1309*55000</f>
        <v>11000000</v>
      </c>
    </row>
    <row r="1310" spans="1:67" x14ac:dyDescent="0.2">
      <c r="A1310" s="14" t="s">
        <v>2986</v>
      </c>
      <c r="B1310" s="14" t="s">
        <v>18</v>
      </c>
      <c r="C1310" s="14">
        <v>2025</v>
      </c>
      <c r="D1310" s="14" t="str">
        <f t="array" ref="D1310">_xlfn.SWITCH(E1310,"Bagor","35.18.14","Sukomoro",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10" s="13" t="s">
        <v>98</v>
      </c>
      <c r="F1310" s="95" t="s">
        <v>2247</v>
      </c>
      <c r="G1310" s="95" t="s">
        <v>2248</v>
      </c>
      <c r="H1310" s="96" t="s">
        <v>9</v>
      </c>
      <c r="I1310" s="95" t="s">
        <v>2046</v>
      </c>
      <c r="J1310" s="98">
        <v>5000</v>
      </c>
      <c r="K1310" s="97" t="s">
        <v>22</v>
      </c>
      <c r="L1310" s="99">
        <f>J1310*2500</f>
        <v>12500000</v>
      </c>
    </row>
    <row r="1311" spans="1:67" s="100" customFormat="1" x14ac:dyDescent="0.2">
      <c r="A1311" s="14" t="s">
        <v>2986</v>
      </c>
      <c r="B1311" s="14" t="s">
        <v>18</v>
      </c>
      <c r="C1311" s="14">
        <v>2025</v>
      </c>
      <c r="D1311" s="14" t="str">
        <f t="array" ref="D1311">_xlfn.SWITCH(E1311,"Bagor","35.18.14","Sukomoro",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1" s="61" t="s">
        <v>18</v>
      </c>
      <c r="F1311" s="60" t="s">
        <v>2249</v>
      </c>
      <c r="G1311" s="60" t="s">
        <v>2250</v>
      </c>
      <c r="H1311" s="61" t="s">
        <v>2251</v>
      </c>
      <c r="I1311" s="63" t="s">
        <v>2087</v>
      </c>
      <c r="J1311" s="62">
        <v>8000</v>
      </c>
      <c r="K1311" s="61" t="s">
        <v>2034</v>
      </c>
      <c r="L1311" s="64">
        <v>15000000</v>
      </c>
      <c r="M1311" s="10"/>
      <c r="N1311" s="17"/>
      <c r="O1311" s="3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</row>
    <row r="1312" spans="1:67" s="100" customFormat="1" x14ac:dyDescent="0.2">
      <c r="A1312" s="14" t="s">
        <v>2986</v>
      </c>
      <c r="B1312" s="14" t="s">
        <v>18</v>
      </c>
      <c r="C1312" s="14">
        <v>2025</v>
      </c>
      <c r="D1312" s="14" t="str">
        <f t="array" ref="D1312">_xlfn.SWITCH(E1312,"Bagor","35.18.14","Sukomoro",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12" s="61" t="s">
        <v>84</v>
      </c>
      <c r="F1312" s="60" t="s">
        <v>2252</v>
      </c>
      <c r="G1312" s="60" t="s">
        <v>2253</v>
      </c>
      <c r="H1312" s="61" t="s">
        <v>20</v>
      </c>
      <c r="I1312" s="63" t="s">
        <v>2065</v>
      </c>
      <c r="J1312" s="62">
        <v>50</v>
      </c>
      <c r="K1312" s="61" t="s">
        <v>217</v>
      </c>
      <c r="L1312" s="64">
        <v>2500000</v>
      </c>
      <c r="M1312" s="10"/>
      <c r="N1312" s="17"/>
      <c r="O1312" s="3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</row>
    <row r="1313" spans="1:67" s="100" customFormat="1" x14ac:dyDescent="0.2">
      <c r="A1313" s="14" t="s">
        <v>2986</v>
      </c>
      <c r="B1313" s="14" t="s">
        <v>18</v>
      </c>
      <c r="C1313" s="14">
        <v>2025</v>
      </c>
      <c r="D1313" s="14" t="str">
        <f t="array" ref="D1313">_xlfn.SWITCH(E1313,"Bagor","35.18.14","Sukomoro",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13" s="61" t="s">
        <v>57</v>
      </c>
      <c r="F1313" s="60" t="s">
        <v>2254</v>
      </c>
      <c r="G1313" s="60" t="s">
        <v>2230</v>
      </c>
      <c r="H1313" s="61" t="s">
        <v>2251</v>
      </c>
      <c r="I1313" s="63" t="s">
        <v>2065</v>
      </c>
      <c r="J1313" s="62">
        <v>200</v>
      </c>
      <c r="K1313" s="61" t="s">
        <v>1748</v>
      </c>
      <c r="L1313" s="64">
        <v>2000000</v>
      </c>
      <c r="M1313" s="10"/>
      <c r="N1313" s="17"/>
      <c r="O1313" s="3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</row>
    <row r="1314" spans="1:67" s="109" customFormat="1" x14ac:dyDescent="0.2">
      <c r="A1314" s="14" t="s">
        <v>2986</v>
      </c>
      <c r="B1314" s="14" t="s">
        <v>18</v>
      </c>
      <c r="C1314" s="14">
        <v>2025</v>
      </c>
      <c r="D1314" s="14" t="str">
        <f t="array" ref="D1314">_xlfn.SWITCH(E1314,"Bagor","35.18.14","Sukomoro",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4" s="102" t="s">
        <v>7</v>
      </c>
      <c r="F1314" s="101" t="s">
        <v>2255</v>
      </c>
      <c r="G1314" s="101" t="s">
        <v>2256</v>
      </c>
      <c r="H1314" s="102" t="s">
        <v>2251</v>
      </c>
      <c r="I1314" s="104" t="s">
        <v>2257</v>
      </c>
      <c r="J1314" s="103">
        <v>4000</v>
      </c>
      <c r="K1314" s="102" t="s">
        <v>1748</v>
      </c>
      <c r="L1314" s="103">
        <v>4000000</v>
      </c>
      <c r="M1314" s="105"/>
      <c r="N1314" s="106"/>
      <c r="O1314" s="107"/>
      <c r="P1314" s="108"/>
      <c r="Q1314" s="108"/>
      <c r="R1314" s="108"/>
      <c r="S1314" s="108"/>
      <c r="T1314" s="108"/>
      <c r="U1314" s="108"/>
      <c r="V1314" s="108"/>
      <c r="W1314" s="108"/>
      <c r="X1314" s="108"/>
      <c r="Y1314" s="108"/>
      <c r="Z1314" s="108"/>
      <c r="AA1314" s="108"/>
      <c r="AB1314" s="108"/>
      <c r="AC1314" s="108"/>
      <c r="AD1314" s="108"/>
      <c r="AE1314" s="108"/>
      <c r="AF1314" s="108"/>
      <c r="AG1314" s="108"/>
      <c r="AH1314" s="108"/>
      <c r="AI1314" s="108"/>
      <c r="AJ1314" s="108"/>
      <c r="AK1314" s="108"/>
      <c r="AL1314" s="108"/>
      <c r="AM1314" s="108"/>
      <c r="AN1314" s="108"/>
      <c r="AO1314" s="108"/>
      <c r="AP1314" s="108"/>
      <c r="AQ1314" s="108"/>
      <c r="AR1314" s="108"/>
      <c r="AS1314" s="108"/>
      <c r="AT1314" s="108"/>
      <c r="AU1314" s="108"/>
      <c r="AV1314" s="108"/>
      <c r="AW1314" s="108"/>
      <c r="AX1314" s="108"/>
      <c r="AY1314" s="108"/>
      <c r="AZ1314" s="108"/>
      <c r="BA1314" s="108"/>
      <c r="BB1314" s="108"/>
      <c r="BC1314" s="108"/>
      <c r="BD1314" s="108"/>
      <c r="BE1314" s="108"/>
      <c r="BF1314" s="108"/>
      <c r="BG1314" s="108"/>
      <c r="BH1314" s="108"/>
      <c r="BI1314" s="108"/>
      <c r="BJ1314" s="108"/>
      <c r="BK1314" s="108"/>
      <c r="BL1314" s="108"/>
      <c r="BM1314" s="108"/>
      <c r="BN1314" s="108"/>
      <c r="BO1314" s="108"/>
    </row>
    <row r="1315" spans="1:67" s="109" customFormat="1" x14ac:dyDescent="0.2">
      <c r="A1315" s="14" t="s">
        <v>2986</v>
      </c>
      <c r="B1315" s="14" t="s">
        <v>18</v>
      </c>
      <c r="C1315" s="14">
        <v>2025</v>
      </c>
      <c r="D1315" s="14" t="str">
        <f t="array" ref="D1315">_xlfn.SWITCH(E1315,"Jatikalen","35.18.20","Kertosono", "35.18.08","Lengkong","35.18.19","Loceret","35.18.04","Tanjunganom","35.18.11","Wilangan","35.18.15")</f>
        <v>35.18.04</v>
      </c>
      <c r="E1315" s="102" t="s">
        <v>15</v>
      </c>
      <c r="F1315" s="101" t="s">
        <v>2258</v>
      </c>
      <c r="G1315" s="101" t="s">
        <v>2259</v>
      </c>
      <c r="H1315" s="102" t="s">
        <v>2251</v>
      </c>
      <c r="I1315" s="110" t="s">
        <v>166</v>
      </c>
      <c r="J1315" s="62">
        <v>12000</v>
      </c>
      <c r="K1315" s="61" t="s">
        <v>1312</v>
      </c>
      <c r="L1315" s="64">
        <v>125000000</v>
      </c>
      <c r="M1315" s="105"/>
      <c r="N1315" s="106"/>
      <c r="O1315" s="107"/>
      <c r="P1315" s="108"/>
      <c r="Q1315" s="108"/>
      <c r="R1315" s="108"/>
      <c r="S1315" s="108"/>
      <c r="T1315" s="108"/>
      <c r="U1315" s="108"/>
      <c r="V1315" s="108"/>
      <c r="W1315" s="108"/>
      <c r="X1315" s="108"/>
      <c r="Y1315" s="108"/>
      <c r="Z1315" s="108"/>
      <c r="AA1315" s="108"/>
      <c r="AB1315" s="108"/>
      <c r="AC1315" s="108"/>
      <c r="AD1315" s="108"/>
      <c r="AE1315" s="108"/>
      <c r="AF1315" s="108"/>
      <c r="AG1315" s="108"/>
      <c r="AH1315" s="108"/>
      <c r="AI1315" s="108"/>
      <c r="AJ1315" s="108"/>
      <c r="AK1315" s="108"/>
      <c r="AL1315" s="108"/>
      <c r="AM1315" s="108"/>
      <c r="AN1315" s="108"/>
      <c r="AO1315" s="108"/>
      <c r="AP1315" s="108"/>
      <c r="AQ1315" s="108"/>
      <c r="AR1315" s="108"/>
      <c r="AS1315" s="108"/>
      <c r="AT1315" s="108"/>
      <c r="AU1315" s="108"/>
      <c r="AV1315" s="108"/>
      <c r="AW1315" s="108"/>
      <c r="AX1315" s="108"/>
      <c r="AY1315" s="108"/>
      <c r="AZ1315" s="108"/>
      <c r="BA1315" s="108"/>
      <c r="BB1315" s="108"/>
      <c r="BC1315" s="108"/>
      <c r="BD1315" s="108"/>
      <c r="BE1315" s="108"/>
      <c r="BF1315" s="108"/>
      <c r="BG1315" s="108"/>
      <c r="BH1315" s="108"/>
      <c r="BI1315" s="108"/>
      <c r="BJ1315" s="108"/>
      <c r="BK1315" s="108"/>
      <c r="BL1315" s="108"/>
      <c r="BM1315" s="108"/>
      <c r="BN1315" s="108"/>
      <c r="BO1315" s="108"/>
    </row>
    <row r="1316" spans="1:67" s="114" customFormat="1" ht="20" x14ac:dyDescent="0.35">
      <c r="A1316" s="14" t="s">
        <v>2986</v>
      </c>
      <c r="B1316" s="14" t="s">
        <v>18</v>
      </c>
      <c r="C1316" s="14">
        <v>2025</v>
      </c>
      <c r="D1316" s="14" t="str">
        <f t="array" ref="D1316">_xlfn.SWITCH(E1316,"Bagor","35.18.14","Sukomoro",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6" s="112" t="s">
        <v>18</v>
      </c>
      <c r="F1316" s="111" t="s">
        <v>2260</v>
      </c>
      <c r="G1316" s="111" t="s">
        <v>2261</v>
      </c>
      <c r="H1316" s="112" t="s">
        <v>2251</v>
      </c>
      <c r="I1316" s="86" t="s">
        <v>2054</v>
      </c>
      <c r="J1316" s="91">
        <v>250</v>
      </c>
      <c r="K1316" s="85" t="s">
        <v>217</v>
      </c>
      <c r="L1316" s="113">
        <f>J1316*60000</f>
        <v>15000000</v>
      </c>
      <c r="M1316" s="92"/>
      <c r="N1316" s="93"/>
      <c r="O1316" s="94"/>
    </row>
    <row r="1317" spans="1:67" s="114" customFormat="1" ht="20" x14ac:dyDescent="0.35">
      <c r="A1317" s="14" t="s">
        <v>2986</v>
      </c>
      <c r="B1317" s="14" t="s">
        <v>18</v>
      </c>
      <c r="C1317" s="14">
        <v>2025</v>
      </c>
      <c r="D1317" s="14" t="str">
        <f t="array" ref="D1317">_xlfn.SWITCH(E1317,"Bagor","35.18.14","Sukomoro",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17" s="112" t="s">
        <v>50</v>
      </c>
      <c r="F1317" s="115" t="s">
        <v>2262</v>
      </c>
      <c r="G1317" s="111" t="s">
        <v>2263</v>
      </c>
      <c r="H1317" s="112" t="s">
        <v>2251</v>
      </c>
      <c r="I1317" s="86" t="s">
        <v>2080</v>
      </c>
      <c r="J1317" s="116">
        <v>500</v>
      </c>
      <c r="K1317" s="85" t="s">
        <v>217</v>
      </c>
      <c r="L1317" s="117">
        <v>15000000</v>
      </c>
      <c r="M1317" s="118"/>
      <c r="O1317" s="119"/>
    </row>
    <row r="1318" spans="1:67" s="114" customFormat="1" ht="30" x14ac:dyDescent="0.35">
      <c r="A1318" s="14" t="s">
        <v>2986</v>
      </c>
      <c r="B1318" s="14" t="s">
        <v>18</v>
      </c>
      <c r="C1318" s="14">
        <v>2025</v>
      </c>
      <c r="D1318" s="14" t="str">
        <f t="array" ref="D1318">_xlfn.SWITCH(E1318,"Bagor","35.18.14","Sukomoro",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8" s="112" t="s">
        <v>18</v>
      </c>
      <c r="F1318" s="111" t="s">
        <v>2264</v>
      </c>
      <c r="G1318" s="111" t="s">
        <v>2265</v>
      </c>
      <c r="H1318" s="112" t="s">
        <v>2251</v>
      </c>
      <c r="I1318" s="14" t="s">
        <v>993</v>
      </c>
      <c r="J1318" s="15">
        <v>3000</v>
      </c>
      <c r="K1318" s="13" t="s">
        <v>994</v>
      </c>
      <c r="L1318" s="22">
        <v>60000000</v>
      </c>
      <c r="M1318" s="118"/>
      <c r="O1318" s="119"/>
    </row>
    <row r="1319" spans="1:67" s="114" customFormat="1" ht="30" x14ac:dyDescent="0.2">
      <c r="A1319" s="14" t="s">
        <v>2986</v>
      </c>
      <c r="B1319" s="14" t="s">
        <v>18</v>
      </c>
      <c r="C1319" s="14">
        <v>2025</v>
      </c>
      <c r="D1319" s="14" t="str">
        <f t="array" ref="D1319">_xlfn.SWITCH(E1319,"Bagor","35.18.14","Sukomoro",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9" s="112" t="s">
        <v>7</v>
      </c>
      <c r="F1319" s="111" t="s">
        <v>2266</v>
      </c>
      <c r="G1319" s="111" t="s">
        <v>2267</v>
      </c>
      <c r="H1319" s="112" t="s">
        <v>2251</v>
      </c>
      <c r="I1319" s="104" t="s">
        <v>2268</v>
      </c>
      <c r="J1319" s="62">
        <v>250</v>
      </c>
      <c r="K1319" s="61" t="s">
        <v>217</v>
      </c>
      <c r="L1319" s="64">
        <f>J1319*60000</f>
        <v>15000000</v>
      </c>
      <c r="M1319" s="118"/>
      <c r="O1319" s="119"/>
    </row>
    <row r="1320" spans="1:67" s="114" customFormat="1" ht="20" x14ac:dyDescent="0.35">
      <c r="A1320" s="14" t="s">
        <v>2986</v>
      </c>
      <c r="B1320" s="14" t="s">
        <v>18</v>
      </c>
      <c r="C1320" s="14">
        <v>2025</v>
      </c>
      <c r="D1320" s="14" t="str">
        <f t="array" ref="D1320">_xlfn.SWITCH(E1320,"Bagor","35.18.14","Sukomoro",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0" s="112" t="s">
        <v>18</v>
      </c>
      <c r="F1320" s="111" t="s">
        <v>2269</v>
      </c>
      <c r="G1320" s="111" t="s">
        <v>2270</v>
      </c>
      <c r="H1320" s="112" t="s">
        <v>2251</v>
      </c>
      <c r="I1320" s="14" t="s">
        <v>795</v>
      </c>
      <c r="J1320" s="15">
        <v>1500</v>
      </c>
      <c r="K1320" s="13" t="s">
        <v>296</v>
      </c>
      <c r="L1320" s="22">
        <f>J1320*75000</f>
        <v>112500000</v>
      </c>
      <c r="M1320" s="118"/>
      <c r="O1320" s="119"/>
    </row>
    <row r="1321" spans="1:67" s="93" customFormat="1" ht="30" x14ac:dyDescent="0.35">
      <c r="A1321" s="14" t="s">
        <v>2986</v>
      </c>
      <c r="B1321" s="14" t="s">
        <v>18</v>
      </c>
      <c r="C1321" s="14">
        <v>2025</v>
      </c>
      <c r="D1321" s="14" t="str">
        <f t="array" ref="D1321">_xlfn.SWITCH(E1321,"Bagor","35.18.14","Sukomoro",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1" s="85" t="s">
        <v>84</v>
      </c>
      <c r="F1321" s="120" t="s">
        <v>2271</v>
      </c>
      <c r="G1321" s="120" t="s">
        <v>2272</v>
      </c>
      <c r="H1321" s="112" t="s">
        <v>2251</v>
      </c>
      <c r="I1321" s="86" t="s">
        <v>2273</v>
      </c>
      <c r="J1321" s="91">
        <v>2000</v>
      </c>
      <c r="K1321" s="85" t="s">
        <v>2274</v>
      </c>
      <c r="L1321" s="113">
        <v>6000000</v>
      </c>
      <c r="M1321" s="92"/>
      <c r="O1321" s="94"/>
    </row>
    <row r="1322" spans="1:67" s="93" customFormat="1" ht="30" x14ac:dyDescent="0.35">
      <c r="A1322" s="14" t="s">
        <v>2986</v>
      </c>
      <c r="B1322" s="14" t="s">
        <v>18</v>
      </c>
      <c r="C1322" s="14">
        <v>2025</v>
      </c>
      <c r="D1322" s="14" t="str">
        <f t="array" ref="D1322">_xlfn.SWITCH(E1322,"Bagor","35.18.14","Sukomoro",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2" s="85" t="s">
        <v>18</v>
      </c>
      <c r="F1322" s="120" t="s">
        <v>2275</v>
      </c>
      <c r="G1322" s="120" t="s">
        <v>2276</v>
      </c>
      <c r="H1322" s="112" t="s">
        <v>2251</v>
      </c>
      <c r="I1322" s="86" t="s">
        <v>2277</v>
      </c>
      <c r="J1322" s="91">
        <v>1000</v>
      </c>
      <c r="K1322" s="85" t="s">
        <v>994</v>
      </c>
      <c r="L1322" s="113">
        <f>J1322*225000</f>
        <v>225000000</v>
      </c>
      <c r="M1322" s="121">
        <v>0</v>
      </c>
      <c r="O1322" s="94"/>
    </row>
    <row r="1323" spans="1:67" s="93" customFormat="1" ht="40" x14ac:dyDescent="0.35">
      <c r="A1323" s="14" t="s">
        <v>2986</v>
      </c>
      <c r="B1323" s="14" t="s">
        <v>18</v>
      </c>
      <c r="C1323" s="14">
        <v>2025</v>
      </c>
      <c r="D1323" s="14" t="str">
        <f t="array" ref="D1323">_xlfn.SWITCH(E1323,"Bagor","35.18.14","Sukomoro",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3" s="85" t="s">
        <v>18</v>
      </c>
      <c r="F1323" s="120" t="s">
        <v>2278</v>
      </c>
      <c r="G1323" s="120" t="s">
        <v>2279</v>
      </c>
      <c r="H1323" s="112" t="s">
        <v>2251</v>
      </c>
      <c r="I1323" s="122" t="s">
        <v>2280</v>
      </c>
      <c r="J1323" s="91">
        <v>500</v>
      </c>
      <c r="K1323" s="85" t="s">
        <v>217</v>
      </c>
      <c r="L1323" s="113">
        <f>J1323*75000</f>
        <v>37500000</v>
      </c>
      <c r="M1323" s="92"/>
      <c r="O1323" s="94"/>
    </row>
    <row r="1324" spans="1:67" s="93" customFormat="1" ht="30" x14ac:dyDescent="0.35">
      <c r="A1324" s="14" t="s">
        <v>2986</v>
      </c>
      <c r="B1324" s="14" t="s">
        <v>18</v>
      </c>
      <c r="C1324" s="14">
        <v>2025</v>
      </c>
      <c r="D1324" s="14" t="str">
        <f t="array" ref="D1324">_xlfn.SWITCH(E1324,"Bagor","35.18.14","Sukomoro",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4" s="85" t="s">
        <v>50</v>
      </c>
      <c r="F1324" s="120" t="s">
        <v>2281</v>
      </c>
      <c r="G1324" s="120" t="s">
        <v>2282</v>
      </c>
      <c r="H1324" s="112" t="s">
        <v>2251</v>
      </c>
      <c r="I1324" s="86" t="s">
        <v>2283</v>
      </c>
      <c r="J1324" s="91">
        <v>8000</v>
      </c>
      <c r="K1324" s="85" t="s">
        <v>1312</v>
      </c>
      <c r="L1324" s="113">
        <v>20000000</v>
      </c>
      <c r="M1324" s="92"/>
      <c r="O1324" s="94"/>
    </row>
    <row r="1325" spans="1:67" s="93" customFormat="1" ht="30" x14ac:dyDescent="0.35">
      <c r="A1325" s="14" t="s">
        <v>2986</v>
      </c>
      <c r="B1325" s="14" t="s">
        <v>18</v>
      </c>
      <c r="C1325" s="14">
        <v>2025</v>
      </c>
      <c r="D1325" s="14" t="str">
        <f t="array" ref="D1325">_xlfn.SWITCH(E1325,"Bagor","35.18.14","Sukomoro",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325" s="85" t="s">
        <v>119</v>
      </c>
      <c r="F1325" s="120" t="s">
        <v>2284</v>
      </c>
      <c r="G1325" s="120" t="s">
        <v>2285</v>
      </c>
      <c r="H1325" s="112" t="s">
        <v>2251</v>
      </c>
      <c r="I1325" s="14" t="s">
        <v>2286</v>
      </c>
      <c r="J1325" s="49">
        <v>10080</v>
      </c>
      <c r="K1325" s="13" t="s">
        <v>700</v>
      </c>
      <c r="L1325" s="48">
        <v>40320000</v>
      </c>
      <c r="M1325" s="92"/>
      <c r="O1325" s="94"/>
    </row>
    <row r="1326" spans="1:67" s="93" customFormat="1" ht="20" x14ac:dyDescent="0.35">
      <c r="A1326" s="14" t="s">
        <v>2986</v>
      </c>
      <c r="B1326" s="14" t="s">
        <v>18</v>
      </c>
      <c r="C1326" s="14">
        <v>2025</v>
      </c>
      <c r="D1326" s="14" t="str">
        <f t="array" ref="D1326">_xlfn.SWITCH(E1326,"Bagor","35.18.14","Sukomoro",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326" s="85" t="s">
        <v>24</v>
      </c>
      <c r="F1326" s="120" t="s">
        <v>2287</v>
      </c>
      <c r="G1326" s="120" t="s">
        <v>2288</v>
      </c>
      <c r="H1326" s="112" t="s">
        <v>2251</v>
      </c>
      <c r="I1326" s="14" t="s">
        <v>2094</v>
      </c>
      <c r="J1326" s="15">
        <v>200</v>
      </c>
      <c r="K1326" s="13" t="s">
        <v>217</v>
      </c>
      <c r="L1326" s="22">
        <f>J1326*55000</f>
        <v>11000000</v>
      </c>
      <c r="M1326" s="92"/>
      <c r="O1326" s="94"/>
    </row>
    <row r="1327" spans="1:67" s="93" customFormat="1" ht="30" x14ac:dyDescent="0.35">
      <c r="A1327" s="14" t="s">
        <v>2986</v>
      </c>
      <c r="B1327" s="14" t="s">
        <v>18</v>
      </c>
      <c r="C1327" s="14">
        <v>2025</v>
      </c>
      <c r="D1327" s="14" t="str">
        <f t="array" ref="D1327">_xlfn.SWITCH(E1327,"Bagor","35.18.14","Sukomoro",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27" s="85" t="s">
        <v>98</v>
      </c>
      <c r="F1327" s="120" t="s">
        <v>2289</v>
      </c>
      <c r="G1327" s="120" t="s">
        <v>2290</v>
      </c>
      <c r="H1327" s="112" t="s">
        <v>2251</v>
      </c>
      <c r="I1327" s="14" t="s">
        <v>993</v>
      </c>
      <c r="J1327" s="15">
        <v>600</v>
      </c>
      <c r="K1327" s="13" t="s">
        <v>994</v>
      </c>
      <c r="L1327" s="22">
        <f>J1327*5000</f>
        <v>3000000</v>
      </c>
      <c r="M1327" s="92"/>
      <c r="O1327" s="94"/>
    </row>
    <row r="1328" spans="1:67" s="123" customFormat="1" ht="30" x14ac:dyDescent="0.35">
      <c r="A1328" s="14" t="s">
        <v>2986</v>
      </c>
      <c r="B1328" s="14" t="s">
        <v>18</v>
      </c>
      <c r="C1328" s="14">
        <v>2025</v>
      </c>
      <c r="D1328" s="14" t="str">
        <f t="array" ref="D1328">_xlfn.SWITCH(E1328,"Bagor","35.18.14","Sukomoro",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8" s="85" t="s">
        <v>84</v>
      </c>
      <c r="F1328" s="120" t="s">
        <v>2291</v>
      </c>
      <c r="G1328" s="120" t="s">
        <v>2292</v>
      </c>
      <c r="H1328" s="112" t="s">
        <v>2251</v>
      </c>
      <c r="I1328" s="86" t="s">
        <v>2094</v>
      </c>
      <c r="J1328" s="91">
        <v>200</v>
      </c>
      <c r="K1328" s="85" t="s">
        <v>217</v>
      </c>
      <c r="L1328" s="113">
        <f>J1328*55000</f>
        <v>11000000</v>
      </c>
      <c r="M1328" s="24"/>
      <c r="O1328" s="124"/>
    </row>
    <row r="1329" spans="1:15" ht="50" x14ac:dyDescent="0.2">
      <c r="A1329" s="14" t="s">
        <v>2986</v>
      </c>
      <c r="B1329" s="14" t="s">
        <v>18</v>
      </c>
      <c r="C1329" s="14">
        <v>2025</v>
      </c>
      <c r="D1329" s="14" t="str">
        <f t="array" ref="D1329">_xlfn.SWITCH(E1329,"Bagor","35.18.14","Sukomoro",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9" s="85" t="s">
        <v>50</v>
      </c>
      <c r="F1329" s="120" t="s">
        <v>2293</v>
      </c>
      <c r="G1329" s="120" t="s">
        <v>2294</v>
      </c>
      <c r="H1329" s="85" t="s">
        <v>2251</v>
      </c>
      <c r="I1329" s="86" t="s">
        <v>2080</v>
      </c>
      <c r="J1329" s="116">
        <v>500</v>
      </c>
      <c r="K1329" s="85" t="s">
        <v>217</v>
      </c>
      <c r="L1329" s="117">
        <v>15000000</v>
      </c>
    </row>
    <row r="1330" spans="1:15" ht="60" x14ac:dyDescent="0.2">
      <c r="A1330" s="14" t="s">
        <v>2986</v>
      </c>
      <c r="B1330" s="14" t="s">
        <v>18</v>
      </c>
      <c r="C1330" s="14">
        <v>2025</v>
      </c>
      <c r="D1330" s="14" t="str">
        <f t="array" ref="D1330">_xlfn.SWITCH(E1330,"Jatikalen","35.18.20","Kertosono", "35.18.08","Lengkong","35.18.19","Loceret","35.18.04","Tanjunganom","35.18.11","Wilangan","35.18.15")</f>
        <v>35.18.04</v>
      </c>
      <c r="E1330" s="85" t="s">
        <v>15</v>
      </c>
      <c r="F1330" s="120" t="s">
        <v>2295</v>
      </c>
      <c r="G1330" s="120" t="s">
        <v>2296</v>
      </c>
      <c r="H1330" s="85" t="s">
        <v>2251</v>
      </c>
      <c r="I1330" s="86" t="s">
        <v>993</v>
      </c>
      <c r="J1330" s="91">
        <v>600</v>
      </c>
      <c r="K1330" s="85" t="s">
        <v>994</v>
      </c>
      <c r="L1330" s="113">
        <f>J1330*5000</f>
        <v>3000000</v>
      </c>
    </row>
    <row r="1331" spans="1:15" ht="60" x14ac:dyDescent="0.2">
      <c r="A1331" s="14" t="s">
        <v>2986</v>
      </c>
      <c r="B1331" s="14" t="s">
        <v>18</v>
      </c>
      <c r="C1331" s="14">
        <v>2025</v>
      </c>
      <c r="D1331" s="14" t="str">
        <f t="array" ref="D1331">_xlfn.SWITCH(E1331,"Bagor","35.18.14","Sukomoro",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1" s="85" t="s">
        <v>18</v>
      </c>
      <c r="F1331" s="120" t="s">
        <v>2297</v>
      </c>
      <c r="G1331" s="120" t="s">
        <v>2298</v>
      </c>
      <c r="H1331" s="85" t="s">
        <v>2251</v>
      </c>
      <c r="I1331" s="86" t="s">
        <v>2080</v>
      </c>
      <c r="J1331" s="91">
        <v>750</v>
      </c>
      <c r="K1331" s="85" t="s">
        <v>700</v>
      </c>
      <c r="L1331" s="113">
        <v>18000000</v>
      </c>
    </row>
    <row r="1332" spans="1:15" ht="30" x14ac:dyDescent="0.2">
      <c r="A1332" s="14" t="s">
        <v>2986</v>
      </c>
      <c r="B1332" s="14" t="s">
        <v>18</v>
      </c>
      <c r="C1332" s="14">
        <v>2025</v>
      </c>
      <c r="D1332" s="14" t="str">
        <f t="array" ref="D1332">_xlfn.SWITCH(E1332,"Bagor","35.18.14","Sukomoro",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332" s="85" t="s">
        <v>583</v>
      </c>
      <c r="F1332" s="120" t="s">
        <v>2299</v>
      </c>
      <c r="G1332" s="120" t="s">
        <v>2300</v>
      </c>
      <c r="H1332" s="85" t="s">
        <v>2251</v>
      </c>
      <c r="I1332" s="86" t="s">
        <v>2301</v>
      </c>
      <c r="J1332" s="91">
        <f>15*25*12</f>
        <v>4500</v>
      </c>
      <c r="K1332" s="85" t="s">
        <v>1186</v>
      </c>
      <c r="L1332" s="113">
        <v>31500000</v>
      </c>
    </row>
    <row r="1333" spans="1:15" ht="40" x14ac:dyDescent="0.2">
      <c r="A1333" s="14" t="s">
        <v>2986</v>
      </c>
      <c r="B1333" s="14" t="s">
        <v>18</v>
      </c>
      <c r="C1333" s="14">
        <v>2025</v>
      </c>
      <c r="D1333" s="14" t="str">
        <f t="array" ref="D1333">_xlfn.SWITCH(E1333,"Bagor","35.18.14","Sukomoro",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33" s="85" t="s">
        <v>35</v>
      </c>
      <c r="F1333" s="120" t="s">
        <v>2302</v>
      </c>
      <c r="G1333" s="120" t="s">
        <v>2303</v>
      </c>
      <c r="H1333" s="85" t="s">
        <v>2251</v>
      </c>
      <c r="I1333" s="86" t="s">
        <v>1608</v>
      </c>
      <c r="J1333" s="116">
        <v>20</v>
      </c>
      <c r="K1333" s="85" t="s">
        <v>730</v>
      </c>
      <c r="L1333" s="113">
        <v>20000000</v>
      </c>
    </row>
    <row r="1334" spans="1:15" ht="50" x14ac:dyDescent="0.2">
      <c r="A1334" s="14" t="s">
        <v>2986</v>
      </c>
      <c r="B1334" s="14" t="s">
        <v>18</v>
      </c>
      <c r="C1334" s="14">
        <v>2025</v>
      </c>
      <c r="D1334" s="14" t="str">
        <f t="array" ref="D1334">_xlfn.SWITCH(E1334,"Bagor","35.18.14","Sukomoro",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4" s="85" t="s">
        <v>18</v>
      </c>
      <c r="F1334" s="120" t="s">
        <v>2304</v>
      </c>
      <c r="G1334" s="120" t="s">
        <v>2305</v>
      </c>
      <c r="H1334" s="85" t="s">
        <v>2251</v>
      </c>
      <c r="I1334" s="86" t="s">
        <v>1608</v>
      </c>
      <c r="J1334" s="91">
        <v>5000</v>
      </c>
      <c r="K1334" s="85" t="s">
        <v>22</v>
      </c>
      <c r="L1334" s="113">
        <f>J1334*2500</f>
        <v>12500000</v>
      </c>
    </row>
    <row r="1335" spans="1:15" ht="40" x14ac:dyDescent="0.2">
      <c r="A1335" s="14" t="s">
        <v>2986</v>
      </c>
      <c r="B1335" s="14" t="s">
        <v>18</v>
      </c>
      <c r="C1335" s="14">
        <v>2025</v>
      </c>
      <c r="D1335" s="14" t="str">
        <f t="array" ref="D1335">_xlfn.SWITCH(E1335,"Bagor","35.18.14","Sukomoro",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35" s="85" t="s">
        <v>84</v>
      </c>
      <c r="F1335" s="120" t="s">
        <v>2306</v>
      </c>
      <c r="G1335" s="120" t="s">
        <v>2307</v>
      </c>
      <c r="H1335" s="85" t="s">
        <v>2251</v>
      </c>
      <c r="I1335" s="86" t="s">
        <v>2046</v>
      </c>
      <c r="J1335" s="91">
        <v>5000</v>
      </c>
      <c r="K1335" s="85" t="s">
        <v>22</v>
      </c>
      <c r="L1335" s="113">
        <f>J1335*2500</f>
        <v>12500000</v>
      </c>
    </row>
    <row r="1336" spans="1:15" ht="30" x14ac:dyDescent="0.2">
      <c r="A1336" s="14" t="s">
        <v>2986</v>
      </c>
      <c r="B1336" s="14" t="s">
        <v>18</v>
      </c>
      <c r="C1336" s="14">
        <v>2025</v>
      </c>
      <c r="D1336" s="14" t="str">
        <f t="array" ref="D1336">_xlfn.SWITCH(E1336,"Bagor","35.18.14","Sukomoro",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36" s="85" t="s">
        <v>1902</v>
      </c>
      <c r="F1336" s="120" t="s">
        <v>2308</v>
      </c>
      <c r="G1336" s="120" t="s">
        <v>2309</v>
      </c>
      <c r="H1336" s="85" t="s">
        <v>2251</v>
      </c>
      <c r="I1336" s="86" t="s">
        <v>2054</v>
      </c>
      <c r="J1336" s="91">
        <v>250</v>
      </c>
      <c r="K1336" s="85" t="s">
        <v>217</v>
      </c>
      <c r="L1336" s="113">
        <f>J1336*60000</f>
        <v>15000000</v>
      </c>
    </row>
    <row r="1337" spans="1:15" ht="30" x14ac:dyDescent="0.2">
      <c r="A1337" s="14" t="s">
        <v>2986</v>
      </c>
      <c r="B1337" s="14" t="s">
        <v>18</v>
      </c>
      <c r="C1337" s="14">
        <v>2025</v>
      </c>
      <c r="D1337" s="14" t="str">
        <f t="array" ref="D1337">_xlfn.SWITCH(E1337,"Bagor","35.18.14","Sukomoro",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37" s="85" t="s">
        <v>7</v>
      </c>
      <c r="F1337" s="120" t="s">
        <v>2310</v>
      </c>
      <c r="G1337" s="120" t="s">
        <v>2311</v>
      </c>
      <c r="H1337" s="85" t="s">
        <v>2251</v>
      </c>
      <c r="I1337" s="86" t="s">
        <v>2094</v>
      </c>
      <c r="J1337" s="91">
        <v>200</v>
      </c>
      <c r="K1337" s="85" t="s">
        <v>217</v>
      </c>
      <c r="L1337" s="113">
        <f>J1337*55000</f>
        <v>11000000</v>
      </c>
    </row>
    <row r="1338" spans="1:15" ht="50" x14ac:dyDescent="0.2">
      <c r="A1338" s="14" t="s">
        <v>2986</v>
      </c>
      <c r="B1338" s="14" t="s">
        <v>18</v>
      </c>
      <c r="C1338" s="14">
        <v>2025</v>
      </c>
      <c r="D1338" s="14" t="str">
        <f t="array" ref="D1338">_xlfn.SWITCH(E1338,"Jatikalen","35.18.20","Kertosono", "35.18.08","Lengkong","35.18.19","Loceret","35.18.04","Tanjunganom","35.18.11","Wilangan","35.18.15")</f>
        <v>35.18.04</v>
      </c>
      <c r="E1338" s="85" t="s">
        <v>15</v>
      </c>
      <c r="F1338" s="120" t="s">
        <v>2312</v>
      </c>
      <c r="G1338" s="120" t="s">
        <v>2313</v>
      </c>
      <c r="H1338" s="85" t="s">
        <v>2251</v>
      </c>
      <c r="I1338" s="86" t="s">
        <v>2283</v>
      </c>
      <c r="J1338" s="91">
        <v>8000</v>
      </c>
      <c r="K1338" s="85" t="s">
        <v>1312</v>
      </c>
      <c r="L1338" s="113">
        <v>20000000</v>
      </c>
    </row>
    <row r="1339" spans="1:15" ht="60" x14ac:dyDescent="0.2">
      <c r="A1339" s="14" t="s">
        <v>2986</v>
      </c>
      <c r="B1339" s="14" t="s">
        <v>18</v>
      </c>
      <c r="C1339" s="14">
        <v>2025</v>
      </c>
      <c r="D1339" s="14" t="str">
        <f t="array" ref="D1339">_xlfn.SWITCH(E1339,"Bagor","35.18.14","Sukomoro",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9" s="85" t="s">
        <v>18</v>
      </c>
      <c r="F1339" s="120" t="s">
        <v>2314</v>
      </c>
      <c r="G1339" s="120" t="s">
        <v>2315</v>
      </c>
      <c r="H1339" s="85" t="s">
        <v>2251</v>
      </c>
      <c r="I1339" s="86" t="s">
        <v>2065</v>
      </c>
      <c r="J1339" s="116">
        <v>10080</v>
      </c>
      <c r="K1339" s="85" t="s">
        <v>700</v>
      </c>
      <c r="L1339" s="117">
        <v>40320000</v>
      </c>
    </row>
    <row r="1340" spans="1:15" ht="40" x14ac:dyDescent="0.2">
      <c r="A1340" s="14" t="s">
        <v>2986</v>
      </c>
      <c r="B1340" s="14" t="s">
        <v>18</v>
      </c>
      <c r="C1340" s="14">
        <v>2025</v>
      </c>
      <c r="D1340" s="14" t="str">
        <f t="array" ref="D1340">_xlfn.SWITCH(E1340,"Bagor","35.18.14","Sukomoro",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0" s="85" t="s">
        <v>7</v>
      </c>
      <c r="F1340" s="120" t="s">
        <v>2316</v>
      </c>
      <c r="G1340" s="120" t="s">
        <v>2317</v>
      </c>
      <c r="H1340" s="85" t="s">
        <v>2251</v>
      </c>
      <c r="I1340" s="86" t="s">
        <v>2273</v>
      </c>
      <c r="J1340" s="91">
        <v>2000</v>
      </c>
      <c r="K1340" s="85" t="s">
        <v>2274</v>
      </c>
      <c r="L1340" s="113">
        <v>6000000</v>
      </c>
    </row>
    <row r="1341" spans="1:15" ht="40" x14ac:dyDescent="0.2">
      <c r="A1341" s="14" t="s">
        <v>2986</v>
      </c>
      <c r="B1341" s="14" t="s">
        <v>18</v>
      </c>
      <c r="C1341" s="14">
        <v>2025</v>
      </c>
      <c r="D1341" s="14" t="str">
        <f t="array" ref="D1341">_xlfn.SWITCH(E1341,"Bagor","35.18.14","Sukomoro",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1" s="85" t="s">
        <v>7</v>
      </c>
      <c r="F1341" s="120" t="s">
        <v>2316</v>
      </c>
      <c r="G1341" s="120" t="s">
        <v>2318</v>
      </c>
      <c r="H1341" s="85" t="s">
        <v>2319</v>
      </c>
      <c r="I1341" s="86" t="s">
        <v>2320</v>
      </c>
      <c r="J1341" s="91">
        <v>200</v>
      </c>
      <c r="K1341" s="85" t="s">
        <v>217</v>
      </c>
      <c r="L1341" s="113">
        <f>J1341*55000</f>
        <v>11000000</v>
      </c>
    </row>
    <row r="1342" spans="1:15" ht="40" x14ac:dyDescent="0.2">
      <c r="A1342" s="14" t="s">
        <v>2986</v>
      </c>
      <c r="B1342" s="14" t="s">
        <v>18</v>
      </c>
      <c r="C1342" s="14">
        <v>2025</v>
      </c>
      <c r="D1342" s="14" t="str">
        <f t="array" ref="D1342">_xlfn.SWITCH(E1342,"Bagor","35.18.14","Sukomoro",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42" s="85" t="s">
        <v>57</v>
      </c>
      <c r="F1342" s="120" t="s">
        <v>2321</v>
      </c>
      <c r="G1342" s="120" t="s">
        <v>2322</v>
      </c>
      <c r="H1342" s="85" t="s">
        <v>2319</v>
      </c>
      <c r="I1342" s="86" t="s">
        <v>2094</v>
      </c>
      <c r="J1342" s="91">
        <v>200</v>
      </c>
      <c r="K1342" s="85" t="s">
        <v>217</v>
      </c>
      <c r="L1342" s="113">
        <f>J1342*55000</f>
        <v>11000000</v>
      </c>
    </row>
    <row r="1343" spans="1:15" ht="30" x14ac:dyDescent="0.2">
      <c r="A1343" s="14" t="s">
        <v>2986</v>
      </c>
      <c r="B1343" s="14" t="s">
        <v>18</v>
      </c>
      <c r="C1343" s="14">
        <v>2025</v>
      </c>
      <c r="D1343" s="14" t="str">
        <f t="array" ref="D1343">_xlfn.SWITCH(E1343,"Jatikalen","35.18.20","Kertosono", "35.18.08","Lengkong","35.18.19","Loceret","35.18.04","Tanjunganom","35.18.11","Wilangan","35.18.15")</f>
        <v>35.18.08</v>
      </c>
      <c r="E1343" s="85" t="s">
        <v>75</v>
      </c>
      <c r="F1343" s="120" t="s">
        <v>2323</v>
      </c>
      <c r="G1343" s="120" t="s">
        <v>2324</v>
      </c>
      <c r="H1343" s="85" t="s">
        <v>2319</v>
      </c>
      <c r="I1343" s="86" t="s">
        <v>1288</v>
      </c>
      <c r="J1343" s="116">
        <v>32000</v>
      </c>
      <c r="K1343" s="85" t="s">
        <v>700</v>
      </c>
      <c r="L1343" s="113">
        <v>25600000</v>
      </c>
    </row>
    <row r="1344" spans="1:15" s="128" customFormat="1" ht="20" x14ac:dyDescent="0.2">
      <c r="A1344" s="14" t="s">
        <v>2986</v>
      </c>
      <c r="B1344" s="14" t="s">
        <v>18</v>
      </c>
      <c r="C1344" s="14">
        <v>2025</v>
      </c>
      <c r="D1344" s="14" t="str">
        <f t="array" ref="D1344">_xlfn.SWITCH(E1344,"Bagor","35.18.14","Sukomoro",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4" s="13" t="s">
        <v>72</v>
      </c>
      <c r="F1344" s="14" t="s">
        <v>2325</v>
      </c>
      <c r="G1344" s="14" t="s">
        <v>2326</v>
      </c>
      <c r="H1344" s="13" t="s">
        <v>9</v>
      </c>
      <c r="I1344" s="125" t="s">
        <v>2327</v>
      </c>
      <c r="J1344" s="126">
        <v>1028</v>
      </c>
      <c r="K1344" s="13" t="s">
        <v>1748</v>
      </c>
      <c r="L1344" s="127">
        <v>8644000</v>
      </c>
      <c r="M1344" s="1"/>
      <c r="N1344" s="2"/>
      <c r="O1344" s="3"/>
    </row>
    <row r="1345" spans="1:15" s="128" customFormat="1" x14ac:dyDescent="0.2">
      <c r="A1345" s="14" t="s">
        <v>2986</v>
      </c>
      <c r="B1345" s="14" t="s">
        <v>18</v>
      </c>
      <c r="C1345" s="14">
        <v>2025</v>
      </c>
      <c r="D1345" s="14" t="str">
        <f t="array" ref="D1345">_xlfn.SWITCH(E1345,"Bagor","35.18.14","Sukomoro",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45" s="13" t="s">
        <v>2329</v>
      </c>
      <c r="F1345" s="14" t="s">
        <v>2328</v>
      </c>
      <c r="G1345" s="14" t="s">
        <v>2330</v>
      </c>
      <c r="H1345" s="13"/>
      <c r="I1345" s="14" t="s">
        <v>2331</v>
      </c>
      <c r="J1345" s="15"/>
      <c r="K1345" s="13"/>
      <c r="L1345" s="127">
        <v>1000000000</v>
      </c>
      <c r="M1345" s="1"/>
      <c r="N1345" s="2"/>
      <c r="O1345" s="3"/>
    </row>
    <row r="1346" spans="1:15" s="128" customFormat="1" ht="20" x14ac:dyDescent="0.2">
      <c r="A1346" s="14" t="s">
        <v>2986</v>
      </c>
      <c r="B1346" s="14" t="s">
        <v>18</v>
      </c>
      <c r="C1346" s="14">
        <v>2025</v>
      </c>
      <c r="D1346" s="14" t="str">
        <f t="array" ref="D1346">_xlfn.SWITCH(E1346,"Jatikalen","35.18.20","Kertosono", "35.18.08","Lengkong","35.18.19","Loceret","35.18.04","Tanjunganom","35.18.11","Wilangan","35.18.15")</f>
        <v>35.18.11</v>
      </c>
      <c r="E1346" s="13" t="s">
        <v>27</v>
      </c>
      <c r="F1346" s="14" t="s">
        <v>26</v>
      </c>
      <c r="G1346" s="14" t="s">
        <v>2332</v>
      </c>
      <c r="H1346" s="13" t="s">
        <v>2333</v>
      </c>
      <c r="I1346" s="14" t="s">
        <v>2334</v>
      </c>
      <c r="J1346" s="15">
        <v>20</v>
      </c>
      <c r="K1346" s="13" t="s">
        <v>1057</v>
      </c>
      <c r="L1346" s="127">
        <v>20000000</v>
      </c>
      <c r="M1346" s="1"/>
      <c r="N1346" s="2"/>
      <c r="O1346" s="3"/>
    </row>
    <row r="1347" spans="1:15" s="128" customFormat="1" x14ac:dyDescent="0.2">
      <c r="A1347" s="14" t="s">
        <v>2986</v>
      </c>
      <c r="B1347" s="14" t="s">
        <v>18</v>
      </c>
      <c r="C1347" s="14">
        <v>2025</v>
      </c>
      <c r="D1347" s="14" t="str">
        <f t="array" ref="D1347">_xlfn.SWITCH(E1347,"Bagor","35.18.14","Sukomoro",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7" s="13" t="s">
        <v>72</v>
      </c>
      <c r="F1347" s="14" t="s">
        <v>2335</v>
      </c>
      <c r="G1347" s="14" t="s">
        <v>2336</v>
      </c>
      <c r="H1347" s="13" t="s">
        <v>2333</v>
      </c>
      <c r="I1347" s="14" t="s">
        <v>1162</v>
      </c>
      <c r="J1347" s="15">
        <v>125</v>
      </c>
      <c r="K1347" s="13" t="s">
        <v>700</v>
      </c>
      <c r="L1347" s="127">
        <v>13250000</v>
      </c>
      <c r="M1347" s="1"/>
      <c r="N1347" s="2"/>
      <c r="O1347" s="3"/>
    </row>
    <row r="1348" spans="1:15" s="128" customFormat="1" x14ac:dyDescent="0.2">
      <c r="A1348" s="14" t="s">
        <v>2986</v>
      </c>
      <c r="B1348" s="14" t="s">
        <v>18</v>
      </c>
      <c r="C1348" s="14">
        <v>2025</v>
      </c>
      <c r="D1348" s="14" t="str">
        <f t="array" ref="D1348">_xlfn.SWITCH(E1348,"Bagor","35.18.14","Sukomoro",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48" s="13" t="s">
        <v>98</v>
      </c>
      <c r="F1348" s="14" t="s">
        <v>153</v>
      </c>
      <c r="G1348" s="14" t="s">
        <v>2337</v>
      </c>
      <c r="H1348" s="13" t="s">
        <v>2333</v>
      </c>
      <c r="I1348" s="14" t="s">
        <v>2338</v>
      </c>
      <c r="J1348" s="15">
        <v>1000</v>
      </c>
      <c r="K1348" s="13" t="s">
        <v>1938</v>
      </c>
      <c r="L1348" s="127">
        <v>16850000</v>
      </c>
      <c r="M1348" s="1"/>
      <c r="N1348" s="2"/>
      <c r="O1348" s="3"/>
    </row>
    <row r="1349" spans="1:15" s="128" customFormat="1" ht="20" x14ac:dyDescent="0.2">
      <c r="A1349" s="14" t="s">
        <v>2986</v>
      </c>
      <c r="B1349" s="14" t="s">
        <v>18</v>
      </c>
      <c r="C1349" s="14">
        <v>2025</v>
      </c>
      <c r="D1349" s="14" t="str">
        <f t="array" ref="D1349">_xlfn.SWITCH(E1349,"Jatikalen","35.18.20","Kertosono", "35.18.08","Lengkong","35.18.19","Loceret","35.18.04","Tanjunganom","35.18.11","Wilangan","35.18.15")</f>
        <v>35.18.11</v>
      </c>
      <c r="E1349" s="13" t="s">
        <v>2340</v>
      </c>
      <c r="F1349" s="14" t="s">
        <v>2339</v>
      </c>
      <c r="G1349" s="14" t="s">
        <v>2341</v>
      </c>
      <c r="H1349" s="13" t="s">
        <v>2333</v>
      </c>
      <c r="I1349" s="14" t="s">
        <v>2342</v>
      </c>
      <c r="J1349" s="15"/>
      <c r="K1349" s="13"/>
      <c r="L1349" s="127"/>
      <c r="M1349" s="1"/>
      <c r="N1349" s="2"/>
      <c r="O1349" s="3"/>
    </row>
    <row r="1350" spans="1:15" s="128" customFormat="1" x14ac:dyDescent="0.2">
      <c r="A1350" s="14" t="s">
        <v>2986</v>
      </c>
      <c r="B1350" s="14" t="s">
        <v>18</v>
      </c>
      <c r="C1350" s="14">
        <v>2025</v>
      </c>
      <c r="D1350" s="14" t="str">
        <f t="array" ref="D1350">_xlfn.SWITCH(E1350,"Bagor","35.18.14","Sukomoro",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0" s="13" t="s">
        <v>102</v>
      </c>
      <c r="F1350" s="14" t="s">
        <v>208</v>
      </c>
      <c r="G1350" s="14" t="s">
        <v>2343</v>
      </c>
      <c r="H1350" s="13" t="s">
        <v>2333</v>
      </c>
      <c r="I1350" s="14" t="s">
        <v>2344</v>
      </c>
      <c r="J1350" s="15"/>
      <c r="K1350" s="13"/>
      <c r="L1350" s="127">
        <v>50000000</v>
      </c>
      <c r="M1350" s="1"/>
      <c r="N1350" s="2"/>
      <c r="O1350" s="3"/>
    </row>
    <row r="1351" spans="1:15" s="128" customFormat="1" x14ac:dyDescent="0.2">
      <c r="A1351" s="14" t="s">
        <v>2986</v>
      </c>
      <c r="B1351" s="14" t="s">
        <v>18</v>
      </c>
      <c r="C1351" s="14">
        <v>2025</v>
      </c>
      <c r="D1351" s="14" t="str">
        <f t="array" ref="D1351">_xlfn.SWITCH(E1351,"Jatikalen","35.18.20","Kertosono", "35.18.08","Lengkong","35.18.19","Loceret","35.18.04","Tanjunganom","35.18.11","Wilangan","35.18.15")</f>
        <v>35.18.08</v>
      </c>
      <c r="E1351" s="13" t="s">
        <v>75</v>
      </c>
      <c r="F1351" s="14" t="s">
        <v>197</v>
      </c>
      <c r="G1351" s="14" t="s">
        <v>2345</v>
      </c>
      <c r="H1351" s="13" t="s">
        <v>2333</v>
      </c>
      <c r="I1351" s="14" t="s">
        <v>2346</v>
      </c>
      <c r="J1351" s="15"/>
      <c r="K1351" s="13"/>
      <c r="L1351" s="127">
        <v>20000000</v>
      </c>
      <c r="M1351" s="1"/>
      <c r="N1351" s="2"/>
      <c r="O1351" s="3"/>
    </row>
    <row r="1352" spans="1:15" s="128" customFormat="1" x14ac:dyDescent="0.2">
      <c r="A1352" s="14" t="s">
        <v>2986</v>
      </c>
      <c r="B1352" s="14" t="s">
        <v>18</v>
      </c>
      <c r="C1352" s="14">
        <v>2025</v>
      </c>
      <c r="D1352" s="14" t="str">
        <f t="array" ref="D1352">_xlfn.SWITCH(E1352,"Jatikalen","35.18.20","Kertosono", "35.18.08","Lengkong","35.18.19","Loceret","35.18.04","Tanjunganom","35.18.11","Wilangan","35.18.15")</f>
        <v>35.18.08</v>
      </c>
      <c r="E1352" s="13" t="s">
        <v>75</v>
      </c>
      <c r="F1352" s="14" t="s">
        <v>197</v>
      </c>
      <c r="G1352" s="14" t="s">
        <v>2347</v>
      </c>
      <c r="H1352" s="13" t="s">
        <v>2333</v>
      </c>
      <c r="I1352" s="14" t="s">
        <v>2348</v>
      </c>
      <c r="J1352" s="15">
        <v>130</v>
      </c>
      <c r="K1352" s="13" t="s">
        <v>2349</v>
      </c>
      <c r="L1352" s="127">
        <v>5050000</v>
      </c>
      <c r="M1352" s="1"/>
      <c r="N1352" s="2"/>
      <c r="O1352" s="3"/>
    </row>
    <row r="1353" spans="1:15" s="128" customFormat="1" x14ac:dyDescent="0.2">
      <c r="A1353" s="14" t="s">
        <v>2986</v>
      </c>
      <c r="B1353" s="14" t="s">
        <v>18</v>
      </c>
      <c r="C1353" s="14">
        <v>2025</v>
      </c>
      <c r="D1353" s="14" t="str">
        <f t="array" ref="D1353">_xlfn.SWITCH(E1353,"Bagor","35.18.14","Sukomoro",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53" s="13" t="s">
        <v>98</v>
      </c>
      <c r="F1353" s="14" t="s">
        <v>2350</v>
      </c>
      <c r="G1353" s="14" t="s">
        <v>2351</v>
      </c>
      <c r="H1353" s="13" t="s">
        <v>2333</v>
      </c>
      <c r="I1353" s="14" t="s">
        <v>1162</v>
      </c>
      <c r="J1353" s="15">
        <v>50</v>
      </c>
      <c r="K1353" s="13" t="s">
        <v>700</v>
      </c>
      <c r="L1353" s="127">
        <v>3500000</v>
      </c>
      <c r="M1353" s="1"/>
      <c r="N1353" s="2"/>
      <c r="O1353" s="3"/>
    </row>
    <row r="1354" spans="1:15" s="128" customFormat="1" x14ac:dyDescent="0.2">
      <c r="A1354" s="14" t="s">
        <v>2986</v>
      </c>
      <c r="B1354" s="14" t="s">
        <v>18</v>
      </c>
      <c r="C1354" s="14">
        <v>2025</v>
      </c>
      <c r="D1354" s="14" t="str">
        <f t="array" ref="D1354">_xlfn.SWITCH(E1354,"Bagor","35.18.14","Sukomoro",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4" s="13" t="s">
        <v>102</v>
      </c>
      <c r="F1354" s="14" t="s">
        <v>208</v>
      </c>
      <c r="G1354" s="14" t="s">
        <v>2352</v>
      </c>
      <c r="H1354" s="13" t="s">
        <v>2333</v>
      </c>
      <c r="I1354" s="14" t="s">
        <v>2353</v>
      </c>
      <c r="J1354" s="15">
        <v>10000</v>
      </c>
      <c r="K1354" s="13" t="s">
        <v>2354</v>
      </c>
      <c r="L1354" s="127">
        <v>30000000</v>
      </c>
      <c r="M1354" s="1"/>
      <c r="N1354" s="2"/>
      <c r="O1354" s="3"/>
    </row>
    <row r="1355" spans="1:15" s="128" customFormat="1" x14ac:dyDescent="0.2">
      <c r="A1355" s="14" t="s">
        <v>2986</v>
      </c>
      <c r="B1355" s="14" t="s">
        <v>18</v>
      </c>
      <c r="C1355" s="14">
        <v>2025</v>
      </c>
      <c r="D1355" s="14" t="str">
        <f t="array" ref="D1355">_xlfn.SWITCH(E1355,"Bagor","35.18.14","Sukomoro",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55" s="13" t="s">
        <v>72</v>
      </c>
      <c r="F1355" s="14" t="s">
        <v>2355</v>
      </c>
      <c r="G1355" s="14" t="s">
        <v>2356</v>
      </c>
      <c r="H1355" s="13" t="s">
        <v>2333</v>
      </c>
      <c r="I1355" s="14" t="s">
        <v>2357</v>
      </c>
      <c r="J1355" s="15">
        <v>300</v>
      </c>
      <c r="K1355" s="13" t="s">
        <v>2358</v>
      </c>
      <c r="L1355" s="127">
        <v>2100000</v>
      </c>
      <c r="M1355" s="1"/>
      <c r="N1355" s="2"/>
      <c r="O1355" s="3"/>
    </row>
    <row r="1356" spans="1:15" s="128" customFormat="1" x14ac:dyDescent="0.2">
      <c r="A1356" s="14" t="s">
        <v>2986</v>
      </c>
      <c r="B1356" s="14" t="s">
        <v>18</v>
      </c>
      <c r="C1356" s="14">
        <v>2025</v>
      </c>
      <c r="D1356" s="14" t="str">
        <f t="array" ref="D1356">_xlfn.SWITCH(E1356,"Bagor","35.18.14","Sukomoro",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6" s="13" t="s">
        <v>2360</v>
      </c>
      <c r="F1356" s="14" t="s">
        <v>2359</v>
      </c>
      <c r="G1356" s="14" t="s">
        <v>2361</v>
      </c>
      <c r="H1356" s="13" t="s">
        <v>2333</v>
      </c>
      <c r="I1356" s="14" t="s">
        <v>1162</v>
      </c>
      <c r="J1356" s="15">
        <v>25</v>
      </c>
      <c r="K1356" s="13" t="s">
        <v>700</v>
      </c>
      <c r="L1356" s="127">
        <v>2000000</v>
      </c>
      <c r="M1356" s="1"/>
      <c r="N1356" s="2"/>
      <c r="O1356" s="3"/>
    </row>
    <row r="1357" spans="1:15" x14ac:dyDescent="0.2">
      <c r="A1357" s="14" t="s">
        <v>2986</v>
      </c>
      <c r="B1357" s="14" t="s">
        <v>18</v>
      </c>
      <c r="C1357" s="14">
        <v>2025</v>
      </c>
      <c r="D1357" s="14" t="str">
        <f t="array" ref="D1357">_xlfn.SWITCH(E1357,"Bagor","35.18.14","Sukomoro",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57" s="13" t="s">
        <v>57</v>
      </c>
      <c r="F1357" s="14" t="s">
        <v>97</v>
      </c>
      <c r="G1357" s="14" t="s">
        <v>2362</v>
      </c>
      <c r="H1357" s="13" t="s">
        <v>2333</v>
      </c>
      <c r="I1357" s="14" t="s">
        <v>2363</v>
      </c>
      <c r="J1357" s="15">
        <v>100</v>
      </c>
      <c r="K1357" s="13" t="s">
        <v>2349</v>
      </c>
      <c r="L1357" s="127">
        <v>2000000</v>
      </c>
    </row>
    <row r="1358" spans="1:15" ht="20" x14ac:dyDescent="0.2">
      <c r="A1358" s="14" t="s">
        <v>2986</v>
      </c>
      <c r="B1358" s="14" t="s">
        <v>18</v>
      </c>
      <c r="C1358" s="14">
        <v>2025</v>
      </c>
      <c r="D1358" s="14" t="str">
        <f t="array" ref="D1358">_xlfn.SWITCH(E1358,"Bagor","35.18.14","Sukomoro",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8" s="13" t="s">
        <v>18</v>
      </c>
      <c r="F1358" s="14" t="s">
        <v>2364</v>
      </c>
      <c r="G1358" s="14" t="s">
        <v>2365</v>
      </c>
      <c r="H1358" s="13" t="s">
        <v>2333</v>
      </c>
      <c r="I1358" s="14"/>
      <c r="J1358" s="15"/>
      <c r="K1358" s="13"/>
      <c r="L1358" s="127">
        <v>5000000</v>
      </c>
    </row>
    <row r="1359" spans="1:15" x14ac:dyDescent="0.2">
      <c r="A1359" s="14" t="s">
        <v>2986</v>
      </c>
      <c r="B1359" s="14" t="s">
        <v>18</v>
      </c>
      <c r="C1359" s="14">
        <v>2025</v>
      </c>
      <c r="D1359" s="14" t="str">
        <f t="array" ref="D1359">_xlfn.SWITCH(E1359,"Jatikalen","35.18.20","Kertosono", "35.18.08","Lengkong","35.18.19","Loceret","35.18.04","Tanjunganom","35.18.11","Wilangan","35.18.15")</f>
        <v>35.18.08</v>
      </c>
      <c r="E1359" s="13" t="s">
        <v>75</v>
      </c>
      <c r="F1359" s="14" t="s">
        <v>772</v>
      </c>
      <c r="G1359" s="14" t="s">
        <v>2366</v>
      </c>
      <c r="H1359" s="13" t="s">
        <v>2333</v>
      </c>
      <c r="I1359" s="14" t="s">
        <v>1162</v>
      </c>
      <c r="J1359" s="15">
        <v>105</v>
      </c>
      <c r="K1359" s="13" t="s">
        <v>700</v>
      </c>
      <c r="L1359" s="127">
        <v>8400000</v>
      </c>
    </row>
    <row r="1360" spans="1:15" x14ac:dyDescent="0.2">
      <c r="A1360" s="14" t="s">
        <v>2986</v>
      </c>
      <c r="B1360" s="14" t="s">
        <v>18</v>
      </c>
      <c r="C1360" s="14">
        <v>2025</v>
      </c>
      <c r="D1360" s="14" t="str">
        <f t="array" ref="D1360">_xlfn.SWITCH(E1360,"Jatikalen","35.18.20","Kertosono", "35.18.08","Lengkong","35.18.19","Loceret","35.18.04","Tanjunganom","35.18.11","Wilangan","35.18.15")</f>
        <v>35.18.08</v>
      </c>
      <c r="E1360" s="13" t="s">
        <v>75</v>
      </c>
      <c r="F1360" s="14" t="s">
        <v>74</v>
      </c>
      <c r="G1360" s="14" t="s">
        <v>2362</v>
      </c>
      <c r="H1360" s="13" t="s">
        <v>2333</v>
      </c>
      <c r="I1360" s="14" t="s">
        <v>2367</v>
      </c>
      <c r="J1360" s="15">
        <v>50</v>
      </c>
      <c r="K1360" s="13" t="s">
        <v>1186</v>
      </c>
      <c r="L1360" s="127">
        <v>15000000</v>
      </c>
    </row>
    <row r="1361" spans="1:12" ht="20" x14ac:dyDescent="0.2">
      <c r="A1361" s="14" t="s">
        <v>2986</v>
      </c>
      <c r="B1361" s="14" t="s">
        <v>18</v>
      </c>
      <c r="C1361" s="14">
        <v>2025</v>
      </c>
      <c r="D1361" s="14" t="str">
        <f t="array" ref="D1361">_xlfn.SWITCH(E1361,"Bagor","35.18.14","Sukomoro",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1" s="13" t="s">
        <v>2369</v>
      </c>
      <c r="F1361" s="14" t="s">
        <v>2368</v>
      </c>
      <c r="G1361" s="14" t="s">
        <v>2370</v>
      </c>
      <c r="H1361" s="13"/>
      <c r="I1361" s="14" t="s">
        <v>2371</v>
      </c>
      <c r="J1361" s="15">
        <v>1.5</v>
      </c>
      <c r="K1361" s="13" t="s">
        <v>730</v>
      </c>
      <c r="L1361" s="127">
        <v>15000000</v>
      </c>
    </row>
    <row r="1362" spans="1:12" x14ac:dyDescent="0.2">
      <c r="A1362" s="14" t="s">
        <v>2986</v>
      </c>
      <c r="B1362" s="14" t="s">
        <v>18</v>
      </c>
      <c r="C1362" s="14">
        <v>2025</v>
      </c>
      <c r="D1362" s="14" t="str">
        <f t="array" ref="D1362">_xlfn.SWITCH(E1362,"Bagor","35.18.14","Sukomoro",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62" s="13" t="s">
        <v>2360</v>
      </c>
      <c r="F1362" s="14" t="s">
        <v>2372</v>
      </c>
      <c r="G1362" s="14" t="s">
        <v>2373</v>
      </c>
      <c r="H1362" s="13" t="s">
        <v>2333</v>
      </c>
      <c r="I1362" s="14" t="s">
        <v>2374</v>
      </c>
      <c r="J1362" s="15">
        <v>110</v>
      </c>
      <c r="K1362" s="13" t="s">
        <v>700</v>
      </c>
      <c r="L1362" s="127">
        <v>25000</v>
      </c>
    </row>
    <row r="1363" spans="1:12" x14ac:dyDescent="0.2">
      <c r="A1363" s="14" t="s">
        <v>2986</v>
      </c>
      <c r="B1363" s="14" t="s">
        <v>18</v>
      </c>
      <c r="C1363" s="14">
        <v>2025</v>
      </c>
      <c r="D1363" s="14" t="str">
        <f t="array" ref="D1363">_xlfn.SWITCH(E1363,"Bagor","35.18.14","Sukomoro",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63" s="13" t="s">
        <v>2376</v>
      </c>
      <c r="F1363" s="14" t="s">
        <v>2375</v>
      </c>
      <c r="G1363" s="14" t="s">
        <v>2377</v>
      </c>
      <c r="H1363" s="13" t="s">
        <v>2333</v>
      </c>
      <c r="I1363" s="14" t="s">
        <v>1162</v>
      </c>
      <c r="J1363" s="15">
        <v>50</v>
      </c>
      <c r="K1363" s="13" t="s">
        <v>700</v>
      </c>
      <c r="L1363" s="127">
        <v>3000000</v>
      </c>
    </row>
    <row r="1364" spans="1:12" x14ac:dyDescent="0.2">
      <c r="A1364" s="14" t="s">
        <v>2986</v>
      </c>
      <c r="B1364" s="14" t="s">
        <v>18</v>
      </c>
      <c r="C1364" s="14">
        <v>2025</v>
      </c>
      <c r="D1364" s="14" t="str">
        <f t="array" ref="D1364">_xlfn.SWITCH(E1364,"Bagor","35.18.14","Sukomoro",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4" s="13" t="s">
        <v>84</v>
      </c>
      <c r="F1364" s="14" t="s">
        <v>2378</v>
      </c>
      <c r="G1364" s="14" t="s">
        <v>2379</v>
      </c>
      <c r="H1364" s="13" t="s">
        <v>2333</v>
      </c>
      <c r="I1364" s="14" t="s">
        <v>2380</v>
      </c>
      <c r="J1364" s="15">
        <v>14</v>
      </c>
      <c r="K1364" s="13" t="s">
        <v>1015</v>
      </c>
      <c r="L1364" s="127">
        <v>2500000</v>
      </c>
    </row>
    <row r="1365" spans="1:12" x14ac:dyDescent="0.2">
      <c r="A1365" s="14" t="s">
        <v>2986</v>
      </c>
      <c r="B1365" s="14" t="s">
        <v>18</v>
      </c>
      <c r="C1365" s="14">
        <v>2025</v>
      </c>
      <c r="D1365" s="14" t="str">
        <f t="array" ref="D1365">_xlfn.SWITCH(E1365,"Bagor","35.18.14","Sukomoro",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5" s="13" t="s">
        <v>2329</v>
      </c>
      <c r="F1365" s="14" t="s">
        <v>2329</v>
      </c>
      <c r="G1365" s="14" t="s">
        <v>2381</v>
      </c>
      <c r="H1365" s="13" t="s">
        <v>2333</v>
      </c>
      <c r="I1365" s="14" t="s">
        <v>2382</v>
      </c>
      <c r="J1365" s="15">
        <v>56</v>
      </c>
      <c r="K1365" s="13"/>
      <c r="L1365" s="127">
        <v>2500000</v>
      </c>
    </row>
    <row r="1366" spans="1:12" x14ac:dyDescent="0.2">
      <c r="A1366" s="14" t="s">
        <v>2986</v>
      </c>
      <c r="B1366" s="14" t="s">
        <v>18</v>
      </c>
      <c r="C1366" s="14">
        <v>2025</v>
      </c>
      <c r="D1366" s="14" t="str">
        <f t="array" ref="D1366">_xlfn.SWITCH(E1366,"Jatikalen","35.18.20","Kertosono", "35.18.08","Lengkong","35.18.19","Loceret","35.18.04","Tanjunganom","35.18.11","Wilangan","35.18.15")</f>
        <v>35.18.04</v>
      </c>
      <c r="E1366" s="13" t="s">
        <v>15</v>
      </c>
      <c r="F1366" s="14" t="s">
        <v>2383</v>
      </c>
      <c r="G1366" s="14" t="s">
        <v>2384</v>
      </c>
      <c r="H1366" s="13" t="s">
        <v>2333</v>
      </c>
      <c r="I1366" s="14" t="s">
        <v>2385</v>
      </c>
      <c r="J1366" s="15">
        <v>2000</v>
      </c>
      <c r="K1366" s="13" t="s">
        <v>2386</v>
      </c>
      <c r="L1366" s="127">
        <v>10000000</v>
      </c>
    </row>
    <row r="1367" spans="1:12" x14ac:dyDescent="0.2">
      <c r="A1367" s="14" t="s">
        <v>2986</v>
      </c>
      <c r="B1367" s="14" t="s">
        <v>18</v>
      </c>
      <c r="C1367" s="14">
        <v>2025</v>
      </c>
      <c r="D1367" s="14" t="str">
        <f t="array" ref="D1367">_xlfn.SWITCH(E1367,"Jatikalen","35.18.20","Kertosono", "35.18.08","Lengkong","35.18.19","Loceret","35.18.04","Tanjunganom","35.18.11","Wilangan","35.18.15")</f>
        <v>35.18.04</v>
      </c>
      <c r="E1367" s="13" t="s">
        <v>15</v>
      </c>
      <c r="F1367" s="14" t="s">
        <v>2383</v>
      </c>
      <c r="G1367" s="14" t="s">
        <v>2387</v>
      </c>
      <c r="H1367" s="13" t="s">
        <v>2333</v>
      </c>
      <c r="I1367" s="14" t="s">
        <v>2385</v>
      </c>
      <c r="J1367" s="15">
        <v>2000</v>
      </c>
      <c r="K1367" s="13"/>
      <c r="L1367" s="127">
        <v>22000000</v>
      </c>
    </row>
    <row r="1368" spans="1:12" ht="20" x14ac:dyDescent="0.2">
      <c r="A1368" s="14" t="s">
        <v>2986</v>
      </c>
      <c r="B1368" s="14" t="s">
        <v>18</v>
      </c>
      <c r="C1368" s="14">
        <v>2025</v>
      </c>
      <c r="D1368" s="14" t="str">
        <f t="array" ref="D1368">_xlfn.SWITCH(E1368,"Bagor","35.18.14","Sukomoro",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8" s="13" t="s">
        <v>98</v>
      </c>
      <c r="F1368" s="14" t="s">
        <v>197</v>
      </c>
      <c r="G1368" s="14" t="s">
        <v>2388</v>
      </c>
      <c r="H1368" s="13" t="s">
        <v>2333</v>
      </c>
      <c r="I1368" s="14" t="s">
        <v>2389</v>
      </c>
      <c r="J1368" s="15">
        <v>13</v>
      </c>
      <c r="K1368" s="13" t="s">
        <v>1015</v>
      </c>
      <c r="L1368" s="127">
        <v>1500000</v>
      </c>
    </row>
    <row r="1369" spans="1:12" x14ac:dyDescent="0.2">
      <c r="A1369" s="14" t="s">
        <v>2986</v>
      </c>
      <c r="B1369" s="14" t="s">
        <v>18</v>
      </c>
      <c r="C1369" s="14">
        <v>2025</v>
      </c>
      <c r="D1369" s="14" t="str">
        <f t="array" ref="D1369">_xlfn.SWITCH(E1369,"Bagor","35.18.14","Sukomoro",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69" s="13" t="s">
        <v>1902</v>
      </c>
      <c r="F1369" s="14" t="s">
        <v>2390</v>
      </c>
      <c r="G1369" s="14" t="s">
        <v>2391</v>
      </c>
      <c r="H1369" s="13" t="s">
        <v>2333</v>
      </c>
      <c r="I1369" s="14" t="s">
        <v>1162</v>
      </c>
      <c r="J1369" s="15">
        <v>30</v>
      </c>
      <c r="K1369" s="13" t="s">
        <v>700</v>
      </c>
      <c r="L1369" s="127">
        <v>2400000</v>
      </c>
    </row>
    <row r="1370" spans="1:12" ht="20" x14ac:dyDescent="0.2">
      <c r="A1370" s="14" t="s">
        <v>2986</v>
      </c>
      <c r="B1370" s="14" t="s">
        <v>18</v>
      </c>
      <c r="C1370" s="14">
        <v>2025</v>
      </c>
      <c r="D1370" s="14" t="str">
        <f t="array" ref="D1370">_xlfn.SWITCH(E1370,"Jatikalen","35.18.20","Kertosono", "35.18.08","Lengkong","35.18.19","Loceret","35.18.04","Tanjunganom","35.18.11","Wilangan","35.18.15")</f>
        <v>35.18.08</v>
      </c>
      <c r="E1370" s="13" t="s">
        <v>2393</v>
      </c>
      <c r="F1370" s="14" t="s">
        <v>2392</v>
      </c>
      <c r="G1370" s="14" t="s">
        <v>2394</v>
      </c>
      <c r="H1370" s="13" t="s">
        <v>2333</v>
      </c>
      <c r="I1370" s="14" t="s">
        <v>2395</v>
      </c>
      <c r="J1370" s="15">
        <v>40</v>
      </c>
      <c r="K1370" s="13" t="s">
        <v>700</v>
      </c>
      <c r="L1370" s="127">
        <v>10000000</v>
      </c>
    </row>
    <row r="1371" spans="1:12" x14ac:dyDescent="0.2">
      <c r="A1371" s="14" t="s">
        <v>2986</v>
      </c>
      <c r="B1371" s="14" t="s">
        <v>18</v>
      </c>
      <c r="C1371" s="14">
        <v>2025</v>
      </c>
      <c r="D1371" s="14" t="str">
        <f t="array" ref="D1371">_xlfn.SWITCH(E1371,"Bagor","35.18.14","Sukomoro",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71" s="13" t="s">
        <v>50</v>
      </c>
      <c r="F1371" s="14" t="s">
        <v>2396</v>
      </c>
      <c r="G1371" s="14" t="s">
        <v>2397</v>
      </c>
      <c r="H1371" s="14" t="s">
        <v>9</v>
      </c>
      <c r="I1371" s="14" t="s">
        <v>166</v>
      </c>
      <c r="J1371" s="125">
        <v>800</v>
      </c>
      <c r="K1371" s="14" t="s">
        <v>2386</v>
      </c>
      <c r="L1371" s="125">
        <v>64000000</v>
      </c>
    </row>
    <row r="1372" spans="1:12" ht="20" x14ac:dyDescent="0.2">
      <c r="A1372" s="14" t="s">
        <v>2986</v>
      </c>
      <c r="B1372" s="14" t="s">
        <v>18</v>
      </c>
      <c r="C1372" s="14">
        <v>2025</v>
      </c>
      <c r="D1372" s="14" t="str">
        <f t="array" ref="D1372">_xlfn.SWITCH(E1372,"Bagor","35.18.14","Sukomoro",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72" s="13" t="s">
        <v>102</v>
      </c>
      <c r="F1372" s="14" t="s">
        <v>2398</v>
      </c>
      <c r="G1372" s="14" t="s">
        <v>2399</v>
      </c>
      <c r="H1372" s="14" t="s">
        <v>9</v>
      </c>
      <c r="I1372" s="14" t="s">
        <v>2400</v>
      </c>
      <c r="J1372" s="125">
        <v>10</v>
      </c>
      <c r="K1372" s="14" t="s">
        <v>1938</v>
      </c>
      <c r="L1372" s="125">
        <v>50000</v>
      </c>
    </row>
    <row r="1373" spans="1:12" x14ac:dyDescent="0.2">
      <c r="A1373" s="14" t="s">
        <v>2986</v>
      </c>
      <c r="B1373" s="14" t="s">
        <v>18</v>
      </c>
      <c r="C1373" s="14">
        <v>2025</v>
      </c>
      <c r="D1373" s="14" t="str">
        <f t="array" ref="D1373">_xlfn.SWITCH(E1373,"Jatikalen","35.18.20","Kertosono", "35.18.08","Lengkong","35.18.19","Loceret","35.18.04","Tanjunganom","35.18.11","Wilangan","35.18.15")</f>
        <v>35.18.04</v>
      </c>
      <c r="E1373" s="13" t="s">
        <v>15</v>
      </c>
      <c r="F1373" s="14" t="s">
        <v>2401</v>
      </c>
      <c r="G1373" s="14" t="s">
        <v>2402</v>
      </c>
      <c r="H1373" s="14" t="s">
        <v>9</v>
      </c>
      <c r="I1373" s="14" t="s">
        <v>2403</v>
      </c>
      <c r="J1373" s="125">
        <v>200</v>
      </c>
      <c r="K1373" s="14" t="s">
        <v>1186</v>
      </c>
      <c r="L1373" s="125">
        <v>8000000</v>
      </c>
    </row>
    <row r="1374" spans="1:12" x14ac:dyDescent="0.2">
      <c r="A1374" s="14" t="s">
        <v>2986</v>
      </c>
      <c r="B1374" s="14" t="s">
        <v>18</v>
      </c>
      <c r="C1374" s="14">
        <v>2025</v>
      </c>
      <c r="D1374" s="14" t="str">
        <f t="array" ref="D1374">_xlfn.SWITCH(E1374,"Jatikalen","35.18.20","Kertosono", "35.18.08","Lengkong","35.18.19","Loceret","35.18.04","Tanjunganom","35.18.11","Wilangan","35.18.15")</f>
        <v>35.18.04</v>
      </c>
      <c r="E1374" s="13" t="s">
        <v>15</v>
      </c>
      <c r="F1374" s="14" t="s">
        <v>254</v>
      </c>
      <c r="G1374" s="14" t="s">
        <v>2404</v>
      </c>
      <c r="H1374" s="14" t="s">
        <v>9</v>
      </c>
      <c r="I1374" s="14" t="s">
        <v>166</v>
      </c>
      <c r="J1374" s="125">
        <v>600</v>
      </c>
      <c r="K1374" s="14" t="s">
        <v>2405</v>
      </c>
      <c r="L1374" s="125">
        <v>48000000</v>
      </c>
    </row>
    <row r="1375" spans="1:12" x14ac:dyDescent="0.2">
      <c r="A1375" s="14" t="s">
        <v>2986</v>
      </c>
      <c r="B1375" s="14" t="s">
        <v>18</v>
      </c>
      <c r="C1375" s="14">
        <v>2025</v>
      </c>
      <c r="D1375" s="14" t="str">
        <f t="array" ref="D1375">_xlfn.SWITCH(E1375,"Jatikalen","35.18.20","Kertosono", "35.18.08","Lengkong","35.18.19","Loceret","35.18.04","Tanjunganom","35.18.11","Wilangan","35.18.15")</f>
        <v>35.18.11</v>
      </c>
      <c r="E1375" s="13" t="s">
        <v>2340</v>
      </c>
      <c r="F1375" s="14" t="s">
        <v>2406</v>
      </c>
      <c r="G1375" s="14" t="s">
        <v>2407</v>
      </c>
      <c r="H1375" s="14" t="s">
        <v>9</v>
      </c>
      <c r="I1375" s="14" t="s">
        <v>2408</v>
      </c>
      <c r="J1375" s="125">
        <v>80</v>
      </c>
      <c r="K1375" s="14" t="s">
        <v>700</v>
      </c>
      <c r="L1375" s="125">
        <v>4000000</v>
      </c>
    </row>
    <row r="1376" spans="1:12" ht="20" x14ac:dyDescent="0.2">
      <c r="A1376" s="14" t="s">
        <v>2986</v>
      </c>
      <c r="B1376" s="14" t="s">
        <v>18</v>
      </c>
      <c r="C1376" s="14">
        <v>2025</v>
      </c>
      <c r="D1376" s="14" t="str">
        <f t="array" ref="D1376">_xlfn.SWITCH(E1376,"Bagor","35.18.14","Sukomoro",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76" s="13" t="s">
        <v>2329</v>
      </c>
      <c r="F1376" s="14" t="s">
        <v>2409</v>
      </c>
      <c r="G1376" s="14" t="s">
        <v>2410</v>
      </c>
      <c r="H1376" s="14" t="s">
        <v>9</v>
      </c>
      <c r="I1376" s="14" t="s">
        <v>2411</v>
      </c>
      <c r="J1376" s="125">
        <v>180</v>
      </c>
      <c r="K1376" s="14" t="s">
        <v>700</v>
      </c>
      <c r="L1376" s="125">
        <v>13200000</v>
      </c>
    </row>
    <row r="1377" spans="1:15" s="130" customFormat="1" ht="12.5" x14ac:dyDescent="0.35">
      <c r="A1377" s="14" t="s">
        <v>2986</v>
      </c>
      <c r="B1377" s="14" t="s">
        <v>18</v>
      </c>
      <c r="C1377" s="14">
        <v>2025</v>
      </c>
      <c r="D1377" s="14" t="str">
        <f t="array" ref="D1377">_xlfn.SWITCH(E1377,"Jatikalen","35.18.20","Kertosono", "35.18.08","Lengkong","35.18.19","Loceret","35.18.04","Tanjunganom","35.18.11","Wilangan","35.18.15")</f>
        <v>35.18.11</v>
      </c>
      <c r="E1377" s="13" t="s">
        <v>2340</v>
      </c>
      <c r="F1377" s="14" t="s">
        <v>2412</v>
      </c>
      <c r="G1377" s="14" t="s">
        <v>2413</v>
      </c>
      <c r="H1377" s="13" t="s">
        <v>9</v>
      </c>
      <c r="I1377" s="14" t="s">
        <v>2414</v>
      </c>
      <c r="J1377" s="127">
        <v>250</v>
      </c>
      <c r="K1377" s="13"/>
      <c r="L1377" s="127">
        <v>11250000</v>
      </c>
      <c r="M1377" s="129"/>
      <c r="N1377" s="129"/>
      <c r="O1377" s="129"/>
    </row>
    <row r="1378" spans="1:15" s="130" customFormat="1" ht="12.5" x14ac:dyDescent="0.35">
      <c r="A1378" s="14" t="s">
        <v>2986</v>
      </c>
      <c r="B1378" s="14" t="s">
        <v>18</v>
      </c>
      <c r="C1378" s="14">
        <v>2025</v>
      </c>
      <c r="D1378" s="14" t="str">
        <f t="array" ref="D1378">_xlfn.SWITCH(E1378,"Bagor","35.18.14","Sukomoro",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8" s="13" t="s">
        <v>1881</v>
      </c>
      <c r="F1378" s="14" t="s">
        <v>2415</v>
      </c>
      <c r="G1378" s="14" t="s">
        <v>2416</v>
      </c>
      <c r="H1378" s="13" t="s">
        <v>9</v>
      </c>
      <c r="I1378" s="14" t="s">
        <v>2417</v>
      </c>
      <c r="J1378" s="127"/>
      <c r="K1378" s="13"/>
      <c r="L1378" s="127">
        <v>5000000</v>
      </c>
      <c r="M1378" s="129"/>
      <c r="N1378" s="129"/>
      <c r="O1378" s="129"/>
    </row>
    <row r="1379" spans="1:15" x14ac:dyDescent="0.2">
      <c r="A1379" s="14" t="s">
        <v>2986</v>
      </c>
      <c r="B1379" s="14" t="s">
        <v>18</v>
      </c>
      <c r="C1379" s="14">
        <v>2025</v>
      </c>
      <c r="D1379" s="14" t="str">
        <f t="array" ref="D1379">_xlfn.SWITCH(E1379,"Bagor","35.18.14","Sukomoro",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79" s="13" t="s">
        <v>1902</v>
      </c>
      <c r="F1379" s="14" t="s">
        <v>2418</v>
      </c>
      <c r="G1379" s="14" t="s">
        <v>2419</v>
      </c>
      <c r="H1379" s="13" t="s">
        <v>9</v>
      </c>
      <c r="I1379" s="14" t="s">
        <v>2382</v>
      </c>
      <c r="J1379" s="127">
        <v>6</v>
      </c>
      <c r="K1379" s="13" t="s">
        <v>1015</v>
      </c>
      <c r="L1379" s="127">
        <v>1000000</v>
      </c>
    </row>
    <row r="1380" spans="1:15" x14ac:dyDescent="0.2">
      <c r="A1380" s="14" t="s">
        <v>2986</v>
      </c>
      <c r="B1380" s="14" t="s">
        <v>18</v>
      </c>
      <c r="C1380" s="14">
        <v>2025</v>
      </c>
      <c r="D1380" s="14" t="str">
        <f t="array" ref="D1380">_xlfn.SWITCH(E1380,"Jatikalen","35.18.20","Kertosono", "35.18.08","Lengkong","35.18.19","Loceret","35.18.04","Tanjunganom","35.18.11","Wilangan","35.18.15")</f>
        <v>35.18.11</v>
      </c>
      <c r="E1380" s="13" t="s">
        <v>2340</v>
      </c>
      <c r="F1380" s="14" t="s">
        <v>2412</v>
      </c>
      <c r="G1380" s="14" t="s">
        <v>2420</v>
      </c>
      <c r="H1380" s="13" t="s">
        <v>9</v>
      </c>
      <c r="I1380" s="14" t="s">
        <v>2421</v>
      </c>
      <c r="J1380" s="127">
        <v>550</v>
      </c>
      <c r="K1380" s="13" t="s">
        <v>1748</v>
      </c>
      <c r="L1380" s="15" t="s">
        <v>2422</v>
      </c>
    </row>
    <row r="1381" spans="1:15" s="132" customFormat="1" ht="14.5" x14ac:dyDescent="0.35">
      <c r="A1381" s="14" t="s">
        <v>2986</v>
      </c>
      <c r="B1381" s="14" t="s">
        <v>18</v>
      </c>
      <c r="C1381" s="14">
        <v>2025</v>
      </c>
      <c r="D1381" s="14" t="str">
        <f t="array" ref="D1381">_xlfn.SWITCH(E1381,"Bagor","35.18.14","Sukomoro",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81" s="13" t="s">
        <v>98</v>
      </c>
      <c r="F1381" s="14" t="s">
        <v>2423</v>
      </c>
      <c r="G1381" s="14" t="s">
        <v>2424</v>
      </c>
      <c r="H1381" s="13" t="s">
        <v>9</v>
      </c>
      <c r="I1381" s="14" t="s">
        <v>2425</v>
      </c>
      <c r="J1381" s="125"/>
      <c r="K1381" s="14"/>
      <c r="L1381" s="125">
        <v>100000000</v>
      </c>
      <c r="M1381" s="131"/>
      <c r="N1381" s="131"/>
      <c r="O1381" s="131"/>
    </row>
    <row r="1382" spans="1:15" s="132" customFormat="1" ht="14.5" x14ac:dyDescent="0.35">
      <c r="A1382" s="14" t="s">
        <v>2986</v>
      </c>
      <c r="B1382" s="14" t="s">
        <v>18</v>
      </c>
      <c r="C1382" s="14">
        <v>2025</v>
      </c>
      <c r="D1382" s="14" t="str">
        <f t="array" ref="D1382">_xlfn.SWITCH(E1382,"Bagor","35.18.14","Sukomoro",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82" s="13" t="s">
        <v>7</v>
      </c>
      <c r="F1382" s="14" t="s">
        <v>2426</v>
      </c>
      <c r="G1382" s="14" t="s">
        <v>2427</v>
      </c>
      <c r="H1382" s="13" t="s">
        <v>43</v>
      </c>
      <c r="I1382" s="14" t="s">
        <v>840</v>
      </c>
      <c r="J1382" s="125">
        <v>250</v>
      </c>
      <c r="K1382" s="14" t="s">
        <v>730</v>
      </c>
      <c r="L1382" s="15" t="s">
        <v>2428</v>
      </c>
      <c r="M1382" s="131"/>
      <c r="N1382" s="131"/>
      <c r="O1382" s="131"/>
    </row>
    <row r="1383" spans="1:15" s="133" customFormat="1" ht="14.5" x14ac:dyDescent="0.35">
      <c r="A1383" s="14" t="s">
        <v>2986</v>
      </c>
      <c r="B1383" s="14" t="s">
        <v>18</v>
      </c>
      <c r="C1383" s="14">
        <v>2025</v>
      </c>
      <c r="D1383" s="14" t="str">
        <f t="array" ref="D1383">_xlfn.SWITCH(E1383,"Bagor","35.18.14","Sukomoro",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3" s="13" t="s">
        <v>1881</v>
      </c>
      <c r="F1383" s="14" t="s">
        <v>2429</v>
      </c>
      <c r="G1383" s="14" t="s">
        <v>2430</v>
      </c>
      <c r="H1383" s="13" t="s">
        <v>9</v>
      </c>
      <c r="I1383" s="14" t="s">
        <v>166</v>
      </c>
      <c r="J1383" s="127">
        <v>100</v>
      </c>
      <c r="K1383" s="13" t="s">
        <v>1312</v>
      </c>
      <c r="L1383" s="15">
        <v>6500000</v>
      </c>
      <c r="M1383" s="129"/>
      <c r="N1383" s="129"/>
      <c r="O1383" s="129"/>
    </row>
    <row r="1384" spans="1:15" s="133" customFormat="1" ht="14.5" x14ac:dyDescent="0.35">
      <c r="A1384" s="14" t="s">
        <v>2986</v>
      </c>
      <c r="B1384" s="14" t="s">
        <v>18</v>
      </c>
      <c r="C1384" s="14">
        <v>2025</v>
      </c>
      <c r="D1384" s="14" t="str">
        <f t="array" ref="D1384">_xlfn.SWITCH(E1384,"Jatikalen","35.18.20","Kertosono", "35.18.08","Lengkong","35.18.19","Loceret","35.18.04","Tanjunganom","35.18.11","Wilangan","35.18.15")</f>
        <v>35.18.11</v>
      </c>
      <c r="E1384" s="13" t="s">
        <v>2340</v>
      </c>
      <c r="F1384" s="14" t="s">
        <v>2431</v>
      </c>
      <c r="G1384" s="14" t="s">
        <v>2432</v>
      </c>
      <c r="H1384" s="13" t="s">
        <v>9</v>
      </c>
      <c r="I1384" s="14" t="s">
        <v>2433</v>
      </c>
      <c r="J1384" s="127">
        <v>44</v>
      </c>
      <c r="K1384" s="13" t="s">
        <v>700</v>
      </c>
      <c r="L1384" s="127">
        <v>4324200</v>
      </c>
      <c r="M1384" s="129"/>
      <c r="N1384" s="129"/>
      <c r="O1384" s="129"/>
    </row>
    <row r="1385" spans="1:15" s="133" customFormat="1" ht="20" x14ac:dyDescent="0.35">
      <c r="A1385" s="14" t="s">
        <v>2986</v>
      </c>
      <c r="B1385" s="14" t="s">
        <v>18</v>
      </c>
      <c r="C1385" s="14">
        <v>2025</v>
      </c>
      <c r="D1385" s="14" t="str">
        <f t="array" ref="D1385">_xlfn.SWITCH(E1385,"Bagor","35.18.14","Sukomoro",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5" s="13" t="s">
        <v>84</v>
      </c>
      <c r="F1385" s="14" t="s">
        <v>2434</v>
      </c>
      <c r="G1385" s="14" t="s">
        <v>2435</v>
      </c>
      <c r="H1385" s="13" t="s">
        <v>9</v>
      </c>
      <c r="I1385" s="14" t="s">
        <v>1703</v>
      </c>
      <c r="J1385" s="13"/>
      <c r="K1385" s="13"/>
      <c r="L1385" s="134">
        <v>5000000</v>
      </c>
      <c r="M1385" s="129"/>
      <c r="N1385" s="129"/>
      <c r="O1385" s="129"/>
    </row>
    <row r="1386" spans="1:15" s="133" customFormat="1" ht="20" x14ac:dyDescent="0.35">
      <c r="A1386" s="14" t="s">
        <v>2986</v>
      </c>
      <c r="B1386" s="14" t="s">
        <v>18</v>
      </c>
      <c r="C1386" s="14">
        <v>2025</v>
      </c>
      <c r="D1386" s="14" t="str">
        <f t="array" ref="D1386">_xlfn.SWITCH(E1386,"Bagor","35.18.14","Sukomoro",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6" s="13" t="s">
        <v>84</v>
      </c>
      <c r="F1386" s="14" t="s">
        <v>2436</v>
      </c>
      <c r="G1386" s="14" t="s">
        <v>2437</v>
      </c>
      <c r="H1386" s="13" t="s">
        <v>9</v>
      </c>
      <c r="I1386" s="14" t="s">
        <v>1703</v>
      </c>
      <c r="J1386" s="13"/>
      <c r="K1386" s="13"/>
      <c r="L1386" s="134">
        <v>5000000</v>
      </c>
      <c r="M1386" s="129"/>
      <c r="N1386" s="129"/>
      <c r="O1386" s="129"/>
    </row>
    <row r="1387" spans="1:15" s="135" customFormat="1" ht="20" x14ac:dyDescent="0.35">
      <c r="A1387" s="14" t="s">
        <v>2986</v>
      </c>
      <c r="B1387" s="14" t="s">
        <v>18</v>
      </c>
      <c r="C1387" s="14">
        <v>2025</v>
      </c>
      <c r="D1387" s="14" t="str">
        <f t="array" ref="D1387">_xlfn.SWITCH(E1387,"Bagor","35.18.14","Sukomoro",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7" s="13" t="s">
        <v>84</v>
      </c>
      <c r="F1387" s="14" t="s">
        <v>2438</v>
      </c>
      <c r="G1387" s="14" t="s">
        <v>2439</v>
      </c>
      <c r="H1387" s="13" t="s">
        <v>9</v>
      </c>
      <c r="I1387" s="14" t="s">
        <v>1703</v>
      </c>
      <c r="J1387" s="8"/>
      <c r="K1387" s="8"/>
      <c r="L1387" s="134">
        <v>5000000</v>
      </c>
      <c r="M1387" s="2"/>
      <c r="N1387" s="2"/>
      <c r="O1387" s="2"/>
    </row>
    <row r="1388" spans="1:15" s="135" customFormat="1" ht="20" x14ac:dyDescent="0.35">
      <c r="A1388" s="14" t="s">
        <v>2986</v>
      </c>
      <c r="B1388" s="14" t="s">
        <v>18</v>
      </c>
      <c r="C1388" s="14">
        <v>2025</v>
      </c>
      <c r="D1388" s="14" t="str">
        <f t="array" ref="D1388">_xlfn.SWITCH(E1388,"Bagor","35.18.14","Sukomoro",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8" s="13" t="s">
        <v>84</v>
      </c>
      <c r="F1388" s="14" t="s">
        <v>2440</v>
      </c>
      <c r="G1388" s="14" t="s">
        <v>2441</v>
      </c>
      <c r="H1388" s="13" t="s">
        <v>9</v>
      </c>
      <c r="I1388" s="14" t="s">
        <v>1703</v>
      </c>
      <c r="J1388" s="8"/>
      <c r="K1388" s="8"/>
      <c r="L1388" s="134">
        <v>5000000</v>
      </c>
      <c r="M1388" s="2"/>
      <c r="N1388" s="2"/>
      <c r="O1388" s="2"/>
    </row>
    <row r="1389" spans="1:15" s="136" customFormat="1" ht="20" x14ac:dyDescent="0.25">
      <c r="A1389" s="14" t="s">
        <v>2986</v>
      </c>
      <c r="B1389" s="14" t="s">
        <v>18</v>
      </c>
      <c r="C1389" s="14">
        <v>2025</v>
      </c>
      <c r="D1389" s="14" t="str">
        <f t="array" ref="D1389">_xlfn.SWITCH(E1389,"Bagor","35.18.14","Sukomoro",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9" s="13" t="s">
        <v>84</v>
      </c>
      <c r="F1389" s="14" t="s">
        <v>2442</v>
      </c>
      <c r="G1389" s="14" t="s">
        <v>2443</v>
      </c>
      <c r="H1389" s="13" t="s">
        <v>9</v>
      </c>
      <c r="I1389" s="14" t="s">
        <v>1703</v>
      </c>
      <c r="J1389" s="8"/>
      <c r="K1389" s="8"/>
      <c r="L1389" s="134">
        <v>5000000</v>
      </c>
      <c r="M1389" s="2"/>
      <c r="N1389" s="2"/>
      <c r="O1389" s="2"/>
    </row>
    <row r="1390" spans="1:15" s="136" customFormat="1" ht="20" x14ac:dyDescent="0.25">
      <c r="A1390" s="14" t="s">
        <v>2986</v>
      </c>
      <c r="B1390" s="14" t="s">
        <v>18</v>
      </c>
      <c r="C1390" s="14">
        <v>2025</v>
      </c>
      <c r="D1390" s="14" t="str">
        <f t="array" ref="D1390">_xlfn.SWITCH(E1390,"Bagor","35.18.14","Sukomoro",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90" s="13" t="s">
        <v>84</v>
      </c>
      <c r="F1390" s="14" t="s">
        <v>2444</v>
      </c>
      <c r="G1390" s="14" t="s">
        <v>2445</v>
      </c>
      <c r="H1390" s="13" t="s">
        <v>9</v>
      </c>
      <c r="I1390" s="14" t="s">
        <v>1703</v>
      </c>
      <c r="J1390" s="13">
        <v>5000</v>
      </c>
      <c r="K1390" s="8" t="s">
        <v>2386</v>
      </c>
      <c r="L1390" s="137">
        <v>60000000</v>
      </c>
      <c r="M1390" s="2"/>
      <c r="N1390" s="2"/>
      <c r="O1390" s="2"/>
    </row>
    <row r="1391" spans="1:15" s="138" customFormat="1" ht="11.5" x14ac:dyDescent="0.25">
      <c r="A1391" s="14" t="s">
        <v>2986</v>
      </c>
      <c r="B1391" s="14" t="s">
        <v>18</v>
      </c>
      <c r="C1391" s="14">
        <v>2025</v>
      </c>
      <c r="D1391" s="14" t="str">
        <f t="array" ref="D1391">_xlfn.SWITCH(E1391,"Jatikalen","35.18.20","Kertosono", "35.18.08","Lengkong","35.18.19","Loceret","35.18.04","Tanjunganom","35.18.11","Wilangan","35.18.15")</f>
        <v>35.18.04</v>
      </c>
      <c r="E1391" s="13" t="s">
        <v>15</v>
      </c>
      <c r="F1391" s="14" t="s">
        <v>233</v>
      </c>
      <c r="G1391" s="14" t="s">
        <v>2446</v>
      </c>
      <c r="H1391" s="13" t="s">
        <v>9</v>
      </c>
      <c r="I1391" s="14" t="s">
        <v>2447</v>
      </c>
      <c r="J1391" s="13">
        <v>440</v>
      </c>
      <c r="K1391" s="8" t="s">
        <v>2349</v>
      </c>
      <c r="L1391" s="137">
        <v>8000000</v>
      </c>
      <c r="M1391" s="1"/>
      <c r="N1391" s="1"/>
      <c r="O1391" s="1"/>
    </row>
    <row r="1392" spans="1:15" s="136" customFormat="1" ht="12.5" x14ac:dyDescent="0.25">
      <c r="A1392" s="14" t="s">
        <v>2986</v>
      </c>
      <c r="B1392" s="14" t="s">
        <v>18</v>
      </c>
      <c r="C1392" s="14">
        <v>2025</v>
      </c>
      <c r="D1392" s="14" t="str">
        <f t="array" ref="D1392">_xlfn.SWITCH(E1392,"Bagor","35.18.14","Sukomoro",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2" s="13" t="s">
        <v>102</v>
      </c>
      <c r="F1392" s="14" t="s">
        <v>2448</v>
      </c>
      <c r="G1392" s="14" t="s">
        <v>2449</v>
      </c>
      <c r="H1392" s="13" t="s">
        <v>9</v>
      </c>
      <c r="I1392" s="14" t="s">
        <v>1893</v>
      </c>
      <c r="J1392" s="13">
        <v>1</v>
      </c>
      <c r="K1392" s="8" t="s">
        <v>730</v>
      </c>
      <c r="L1392" s="137">
        <v>17000000</v>
      </c>
      <c r="M1392" s="2"/>
      <c r="N1392" s="2"/>
      <c r="O1392" s="2"/>
    </row>
    <row r="1393" spans="1:15" s="140" customFormat="1" ht="20" x14ac:dyDescent="0.35">
      <c r="A1393" s="14" t="s">
        <v>2986</v>
      </c>
      <c r="B1393" s="14" t="s">
        <v>18</v>
      </c>
      <c r="C1393" s="14">
        <v>2025</v>
      </c>
      <c r="D1393" s="14" t="str">
        <f t="array" ref="D1393">_xlfn.SWITCH(E1393,"Bagor","35.18.14","Sukomoro",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93" s="8" t="s">
        <v>98</v>
      </c>
      <c r="F1393" s="14" t="s">
        <v>2450</v>
      </c>
      <c r="G1393" s="14" t="s">
        <v>2451</v>
      </c>
      <c r="H1393" s="13" t="s">
        <v>9</v>
      </c>
      <c r="I1393" s="14" t="s">
        <v>2452</v>
      </c>
      <c r="J1393" s="12">
        <v>1000000</v>
      </c>
      <c r="K1393" s="139"/>
      <c r="L1393" s="11">
        <f>J1393*250</f>
        <v>250000000</v>
      </c>
      <c r="O1393" s="141"/>
    </row>
    <row r="1394" spans="1:15" s="5" customFormat="1" x14ac:dyDescent="0.2">
      <c r="A1394" s="14" t="s">
        <v>2986</v>
      </c>
      <c r="B1394" s="14" t="s">
        <v>18</v>
      </c>
      <c r="C1394" s="14">
        <v>2025</v>
      </c>
      <c r="D1394" s="14" t="str">
        <f t="array" ref="D1394">_xlfn.SWITCH(E1394,"Jatikalen","35.18.20","Kertosono", "35.18.08","Lengkong","35.18.19","Loceret","35.18.04","Tanjunganom","35.18.11","Wilangan","35.18.15")</f>
        <v>35.18.04</v>
      </c>
      <c r="E1394" s="13" t="s">
        <v>15</v>
      </c>
      <c r="F1394" s="14" t="s">
        <v>233</v>
      </c>
      <c r="G1394" s="14" t="s">
        <v>2446</v>
      </c>
      <c r="H1394" s="13" t="s">
        <v>9</v>
      </c>
      <c r="I1394" s="14" t="s">
        <v>2447</v>
      </c>
      <c r="J1394" s="13">
        <v>440</v>
      </c>
      <c r="K1394" s="139" t="s">
        <v>2349</v>
      </c>
      <c r="L1394" s="137">
        <v>8000000</v>
      </c>
      <c r="O1394" s="142"/>
    </row>
    <row r="1395" spans="1:15" s="5" customFormat="1" x14ac:dyDescent="0.2">
      <c r="A1395" s="14" t="s">
        <v>2986</v>
      </c>
      <c r="B1395" s="14" t="s">
        <v>18</v>
      </c>
      <c r="C1395" s="14">
        <v>2025</v>
      </c>
      <c r="D1395" s="14" t="str">
        <f t="array" ref="D1395">_xlfn.SWITCH(E1395,"Bagor","35.18.14","Sukomoro",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5" s="13" t="s">
        <v>102</v>
      </c>
      <c r="F1395" s="14" t="s">
        <v>2448</v>
      </c>
      <c r="G1395" s="14" t="s">
        <v>2449</v>
      </c>
      <c r="H1395" s="13" t="s">
        <v>9</v>
      </c>
      <c r="I1395" s="14" t="s">
        <v>1893</v>
      </c>
      <c r="J1395" s="13">
        <v>1</v>
      </c>
      <c r="K1395" s="139" t="s">
        <v>730</v>
      </c>
      <c r="L1395" s="137">
        <v>17000000</v>
      </c>
      <c r="O1395" s="142"/>
    </row>
    <row r="1396" spans="1:15" s="143" customFormat="1" ht="40" x14ac:dyDescent="0.25">
      <c r="A1396" s="14" t="s">
        <v>2986</v>
      </c>
      <c r="B1396" s="14" t="s">
        <v>18</v>
      </c>
      <c r="C1396" s="14">
        <v>2025</v>
      </c>
      <c r="D1396" s="14" t="str">
        <f t="array" ref="D1396">_xlfn.SWITCH(E1396,"Bagor","35.18.14","Sukomoro",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96" s="13" t="s">
        <v>35</v>
      </c>
      <c r="F1396" s="14" t="s">
        <v>2453</v>
      </c>
      <c r="G1396" s="14" t="s">
        <v>2454</v>
      </c>
      <c r="H1396" s="13" t="s">
        <v>9</v>
      </c>
      <c r="I1396" s="14" t="s">
        <v>2455</v>
      </c>
      <c r="J1396" s="22">
        <v>100</v>
      </c>
      <c r="K1396" s="13" t="s">
        <v>700</v>
      </c>
      <c r="L1396" s="15">
        <v>9380000</v>
      </c>
      <c r="M1396" s="1"/>
      <c r="N1396" s="2"/>
      <c r="O1396" s="3"/>
    </row>
    <row r="1397" spans="1:15" s="143" customFormat="1" ht="40" x14ac:dyDescent="0.25">
      <c r="A1397" s="14" t="s">
        <v>2986</v>
      </c>
      <c r="B1397" s="14" t="s">
        <v>18</v>
      </c>
      <c r="C1397" s="14">
        <v>2025</v>
      </c>
      <c r="D1397" s="14" t="str">
        <f t="array" ref="D1397">_xlfn.SWITCH(E1397,"Jatikalen","35.18.20","Kertosono", "35.18.08","Lengkong","35.18.19","Loceret","35.18.04","Tanjunganom","35.18.11","Wilangan","35.18.15")</f>
        <v>35.18.08</v>
      </c>
      <c r="E1397" s="13" t="s">
        <v>75</v>
      </c>
      <c r="F1397" s="14" t="s">
        <v>2456</v>
      </c>
      <c r="G1397" s="14" t="s">
        <v>2457</v>
      </c>
      <c r="H1397" s="13" t="s">
        <v>9</v>
      </c>
      <c r="I1397" s="14" t="s">
        <v>2458</v>
      </c>
      <c r="J1397" s="22">
        <v>27</v>
      </c>
      <c r="K1397" s="13" t="s">
        <v>700</v>
      </c>
      <c r="L1397" s="127">
        <v>540000</v>
      </c>
      <c r="M1397" s="1"/>
      <c r="N1397" s="2"/>
      <c r="O1397" s="3"/>
    </row>
    <row r="1398" spans="1:15" s="143" customFormat="1" ht="30" x14ac:dyDescent="0.25">
      <c r="A1398" s="14" t="s">
        <v>2986</v>
      </c>
      <c r="B1398" s="14" t="s">
        <v>18</v>
      </c>
      <c r="C1398" s="14">
        <v>2025</v>
      </c>
      <c r="D1398" s="14" t="str">
        <f t="array" ref="D1398">_xlfn.SWITCH(E1398,"Bagor","35.18.14","Sukomoro",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8" s="13" t="s">
        <v>18</v>
      </c>
      <c r="F1398" s="14" t="s">
        <v>2459</v>
      </c>
      <c r="G1398" s="14" t="s">
        <v>2460</v>
      </c>
      <c r="H1398" s="13" t="s">
        <v>9</v>
      </c>
      <c r="I1398" s="14" t="s">
        <v>2461</v>
      </c>
      <c r="J1398" s="22">
        <v>18</v>
      </c>
      <c r="K1398" s="13" t="s">
        <v>700</v>
      </c>
      <c r="L1398" s="127">
        <v>2062500</v>
      </c>
      <c r="M1398" s="1"/>
      <c r="N1398" s="2"/>
      <c r="O1398" s="3"/>
    </row>
    <row r="1399" spans="1:15" s="144" customFormat="1" ht="60" x14ac:dyDescent="0.35">
      <c r="A1399" s="14" t="s">
        <v>2986</v>
      </c>
      <c r="B1399" s="14" t="s">
        <v>18</v>
      </c>
      <c r="C1399" s="14">
        <v>2025</v>
      </c>
      <c r="D1399" s="14" t="str">
        <f t="array" ref="D1399">_xlfn.SWITCH(E1399,"Bagor","35.18.14","Sukomoro",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99" s="13" t="s">
        <v>57</v>
      </c>
      <c r="F1399" s="14" t="s">
        <v>2462</v>
      </c>
      <c r="G1399" s="14" t="s">
        <v>2463</v>
      </c>
      <c r="H1399" s="13" t="s">
        <v>748</v>
      </c>
      <c r="I1399" s="14" t="s">
        <v>2464</v>
      </c>
      <c r="J1399" s="15" t="s">
        <v>2465</v>
      </c>
      <c r="K1399" s="13" t="s">
        <v>2466</v>
      </c>
      <c r="L1399" s="22">
        <v>45000</v>
      </c>
      <c r="M1399" s="129"/>
      <c r="N1399" s="41"/>
      <c r="O1399" s="40"/>
    </row>
    <row r="1400" spans="1:15" s="41" customFormat="1" ht="70" x14ac:dyDescent="0.35">
      <c r="A1400" s="14" t="s">
        <v>2986</v>
      </c>
      <c r="B1400" s="14" t="s">
        <v>18</v>
      </c>
      <c r="C1400" s="14">
        <v>2025</v>
      </c>
      <c r="D1400" s="14" t="str">
        <f t="array" ref="D1400">_xlfn.SWITCH(E1400,"Bagor","35.18.14","Sukomoro",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0" s="13" t="s">
        <v>18</v>
      </c>
      <c r="F1400" s="14" t="s">
        <v>2467</v>
      </c>
      <c r="G1400" s="14" t="s">
        <v>2468</v>
      </c>
      <c r="H1400" s="13" t="s">
        <v>43</v>
      </c>
      <c r="I1400" s="14" t="s">
        <v>2469</v>
      </c>
      <c r="J1400" s="15"/>
      <c r="K1400" s="13"/>
      <c r="L1400" s="22"/>
      <c r="M1400" s="129"/>
      <c r="O1400" s="40"/>
    </row>
    <row r="1401" spans="1:15" s="145" customFormat="1" ht="70" x14ac:dyDescent="0.2">
      <c r="A1401" s="14" t="s">
        <v>2986</v>
      </c>
      <c r="B1401" s="14" t="s">
        <v>18</v>
      </c>
      <c r="C1401" s="14">
        <v>2025</v>
      </c>
      <c r="D1401" s="14" t="str">
        <f t="array" ref="D1401">_xlfn.SWITCH(E1401,"Jatikalen","35.18.20","Kertosono", "35.18.08","Lengkong","35.18.19","Loceret","35.18.04","Tanjunganom","35.18.11","Wilangan","35.18.15")</f>
        <v>35.18.08</v>
      </c>
      <c r="E1401" s="13" t="s">
        <v>75</v>
      </c>
      <c r="F1401" s="14" t="s">
        <v>2470</v>
      </c>
      <c r="G1401" s="14" t="s">
        <v>2471</v>
      </c>
      <c r="H1401" s="13" t="s">
        <v>748</v>
      </c>
      <c r="I1401" s="14" t="s">
        <v>2472</v>
      </c>
      <c r="J1401" s="62"/>
      <c r="K1401" s="61"/>
      <c r="L1401" s="64"/>
      <c r="M1401" s="80"/>
      <c r="O1401" s="146"/>
    </row>
    <row r="1402" spans="1:15" s="129" customFormat="1" ht="60" x14ac:dyDescent="0.35">
      <c r="A1402" s="14" t="s">
        <v>2986</v>
      </c>
      <c r="B1402" s="14" t="s">
        <v>18</v>
      </c>
      <c r="C1402" s="14">
        <v>2025</v>
      </c>
      <c r="D1402" s="14" t="str">
        <f t="array" ref="D1402">_xlfn.SWITCH(E1402,"Bagor","35.18.14","Sukomoro",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2" s="13" t="s">
        <v>72</v>
      </c>
      <c r="F1402" s="14" t="s">
        <v>2473</v>
      </c>
      <c r="G1402" s="14" t="s">
        <v>2474</v>
      </c>
      <c r="H1402" s="13" t="s">
        <v>748</v>
      </c>
      <c r="I1402" s="14" t="s">
        <v>2475</v>
      </c>
      <c r="J1402" s="127">
        <v>748800000</v>
      </c>
      <c r="K1402" s="13" t="s">
        <v>2476</v>
      </c>
      <c r="L1402" s="127"/>
      <c r="O1402" s="147"/>
    </row>
    <row r="1403" spans="1:15" s="41" customFormat="1" ht="50" x14ac:dyDescent="0.35">
      <c r="A1403" s="14" t="s">
        <v>2986</v>
      </c>
      <c r="B1403" s="14" t="s">
        <v>18</v>
      </c>
      <c r="C1403" s="14">
        <v>2025</v>
      </c>
      <c r="D1403" s="14" t="str">
        <f t="array" ref="D1403">_xlfn.SWITCH(E1403,"Bagor","35.18.14","Sukomoro",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3" s="13" t="s">
        <v>98</v>
      </c>
      <c r="F1403" s="14" t="s">
        <v>2477</v>
      </c>
      <c r="G1403" s="14" t="s">
        <v>2478</v>
      </c>
      <c r="H1403" s="13" t="s">
        <v>2479</v>
      </c>
      <c r="I1403" s="14" t="s">
        <v>2480</v>
      </c>
      <c r="J1403" s="127">
        <v>2744800</v>
      </c>
      <c r="K1403" s="13" t="s">
        <v>2481</v>
      </c>
      <c r="L1403" s="127">
        <v>572277800</v>
      </c>
      <c r="M1403" s="129"/>
      <c r="O1403" s="40"/>
    </row>
    <row r="1404" spans="1:15" s="41" customFormat="1" ht="40" x14ac:dyDescent="0.35">
      <c r="A1404" s="14" t="s">
        <v>2986</v>
      </c>
      <c r="B1404" s="14" t="s">
        <v>18</v>
      </c>
      <c r="C1404" s="14">
        <v>2025</v>
      </c>
      <c r="D1404" s="14" t="str">
        <f t="array" ref="D1404">_xlfn.SWITCH(E1404,"Bagor","35.18.14","Sukomoro",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04" s="13" t="s">
        <v>102</v>
      </c>
      <c r="F1404" s="14" t="s">
        <v>2482</v>
      </c>
      <c r="G1404" s="14" t="s">
        <v>2483</v>
      </c>
      <c r="H1404" s="13" t="s">
        <v>2479</v>
      </c>
      <c r="I1404" s="14" t="s">
        <v>2484</v>
      </c>
      <c r="J1404" s="127">
        <v>5500000</v>
      </c>
      <c r="K1404" s="13" t="s">
        <v>2481</v>
      </c>
      <c r="L1404" s="22">
        <f>J1404*170</f>
        <v>935000000</v>
      </c>
      <c r="M1404" s="129"/>
      <c r="O1404" s="40"/>
    </row>
    <row r="1405" spans="1:15" s="129" customFormat="1" ht="50" x14ac:dyDescent="0.35">
      <c r="A1405" s="14" t="s">
        <v>2986</v>
      </c>
      <c r="B1405" s="14" t="s">
        <v>18</v>
      </c>
      <c r="C1405" s="14">
        <v>2025</v>
      </c>
      <c r="D1405" s="14" t="str">
        <f t="array" ref="D1405">_xlfn.SWITCH(E1405,"Bagor","35.18.14","Sukomoro",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5" s="13" t="s">
        <v>72</v>
      </c>
      <c r="F1405" s="14" t="s">
        <v>2485</v>
      </c>
      <c r="G1405" s="14" t="s">
        <v>2486</v>
      </c>
      <c r="H1405" s="13" t="s">
        <v>748</v>
      </c>
      <c r="I1405" s="14" t="s">
        <v>2487</v>
      </c>
      <c r="J1405" s="127">
        <v>1200000</v>
      </c>
      <c r="K1405" s="13" t="s">
        <v>2488</v>
      </c>
      <c r="L1405" s="127">
        <f>J1405*1000</f>
        <v>1200000000</v>
      </c>
      <c r="O1405" s="147"/>
    </row>
    <row r="1406" spans="1:15" s="129" customFormat="1" ht="40" x14ac:dyDescent="0.35">
      <c r="A1406" s="14" t="s">
        <v>2986</v>
      </c>
      <c r="B1406" s="14" t="s">
        <v>18</v>
      </c>
      <c r="C1406" s="14">
        <v>2025</v>
      </c>
      <c r="D1406" s="14" t="str">
        <f t="array" ref="D1406">_xlfn.SWITCH(E1406,"Jatikalen","35.18.20","Kertosono", "35.18.08","Lengkong","35.18.19","Loceret","35.18.04","Tanjunganom","35.18.11","Wilangan","35.18.15")</f>
        <v>35.18.04</v>
      </c>
      <c r="E1406" s="13" t="s">
        <v>15</v>
      </c>
      <c r="F1406" s="14" t="s">
        <v>2489</v>
      </c>
      <c r="G1406" s="14" t="s">
        <v>2490</v>
      </c>
      <c r="H1406" s="13" t="s">
        <v>748</v>
      </c>
      <c r="I1406" s="14" t="s">
        <v>2491</v>
      </c>
      <c r="J1406" s="127">
        <v>7400000</v>
      </c>
      <c r="K1406" s="13" t="s">
        <v>2488</v>
      </c>
      <c r="L1406" s="127">
        <f>J1406*170</f>
        <v>1258000000</v>
      </c>
      <c r="O1406" s="147"/>
    </row>
    <row r="1407" spans="1:15" s="129" customFormat="1" ht="50" x14ac:dyDescent="0.35">
      <c r="A1407" s="14" t="s">
        <v>2986</v>
      </c>
      <c r="B1407" s="14" t="s">
        <v>18</v>
      </c>
      <c r="C1407" s="14">
        <v>2025</v>
      </c>
      <c r="D1407" s="14" t="str">
        <f t="array" ref="D1407">_xlfn.SWITCH(E1407,"Bagor","35.18.14","Sukomoro",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07" s="13" t="s">
        <v>57</v>
      </c>
      <c r="F1407" s="14" t="s">
        <v>2492</v>
      </c>
      <c r="G1407" s="14" t="s">
        <v>2493</v>
      </c>
      <c r="H1407" s="13" t="s">
        <v>748</v>
      </c>
      <c r="I1407" s="14" t="s">
        <v>2494</v>
      </c>
      <c r="J1407" s="127">
        <v>8000000</v>
      </c>
      <c r="K1407" s="13" t="s">
        <v>2495</v>
      </c>
      <c r="L1407" s="127">
        <f>J1407*1000</f>
        <v>8000000000</v>
      </c>
      <c r="O1407" s="147"/>
    </row>
    <row r="1408" spans="1:15" s="129" customFormat="1" ht="40" x14ac:dyDescent="0.35">
      <c r="A1408" s="14" t="s">
        <v>2986</v>
      </c>
      <c r="B1408" s="14" t="s">
        <v>18</v>
      </c>
      <c r="C1408" s="14">
        <v>2025</v>
      </c>
      <c r="D1408" s="14" t="str">
        <f t="array" ref="D1408">_xlfn.SWITCH(E1408,"Bagor","35.18.14","Sukomoro",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08" s="13" t="s">
        <v>35</v>
      </c>
      <c r="F1408" s="14" t="s">
        <v>2496</v>
      </c>
      <c r="G1408" s="14" t="s">
        <v>2497</v>
      </c>
      <c r="H1408" s="13" t="s">
        <v>2479</v>
      </c>
      <c r="I1408" s="14" t="s">
        <v>2491</v>
      </c>
      <c r="J1408" s="127"/>
      <c r="K1408" s="13"/>
      <c r="L1408" s="127"/>
      <c r="O1408" s="147"/>
    </row>
    <row r="1409" spans="1:15" s="129" customFormat="1" ht="70" x14ac:dyDescent="0.35">
      <c r="A1409" s="14" t="s">
        <v>2986</v>
      </c>
      <c r="B1409" s="14" t="s">
        <v>18</v>
      </c>
      <c r="C1409" s="14">
        <v>2025</v>
      </c>
      <c r="D1409" s="14" t="str">
        <f t="array" ref="D1409">_xlfn.SWITCH(E1409,"Bagor","35.18.14","Sukomoro",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9" s="13" t="s">
        <v>2369</v>
      </c>
      <c r="F1409" s="14" t="s">
        <v>2498</v>
      </c>
      <c r="G1409" s="14" t="s">
        <v>2499</v>
      </c>
      <c r="H1409" s="13" t="s">
        <v>2479</v>
      </c>
      <c r="I1409" s="14" t="s">
        <v>2500</v>
      </c>
      <c r="J1409" s="127">
        <v>7173400</v>
      </c>
      <c r="K1409" s="13" t="s">
        <v>11</v>
      </c>
      <c r="L1409" s="127">
        <v>4110130000</v>
      </c>
      <c r="O1409" s="147"/>
    </row>
    <row r="1410" spans="1:15" s="129" customFormat="1" ht="40" x14ac:dyDescent="0.35">
      <c r="A1410" s="14" t="s">
        <v>2986</v>
      </c>
      <c r="B1410" s="14" t="s">
        <v>18</v>
      </c>
      <c r="C1410" s="14">
        <v>2025</v>
      </c>
      <c r="D1410" s="14" t="str">
        <f t="array" ref="D1410">_xlfn.SWITCH(E1410,"Bagor","35.18.14","Sukomoro",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0" s="13" t="s">
        <v>18</v>
      </c>
      <c r="F1410" s="14" t="s">
        <v>2501</v>
      </c>
      <c r="G1410" s="14" t="s">
        <v>2502</v>
      </c>
      <c r="H1410" s="13" t="s">
        <v>43</v>
      </c>
      <c r="I1410" s="14" t="s">
        <v>2503</v>
      </c>
      <c r="J1410" s="127">
        <v>9360000</v>
      </c>
      <c r="K1410" s="13" t="s">
        <v>11</v>
      </c>
      <c r="L1410" s="127">
        <v>5444000000</v>
      </c>
      <c r="O1410" s="147"/>
    </row>
    <row r="1411" spans="1:15" s="129" customFormat="1" ht="50" x14ac:dyDescent="0.35">
      <c r="A1411" s="14" t="s">
        <v>2986</v>
      </c>
      <c r="B1411" s="14" t="s">
        <v>18</v>
      </c>
      <c r="C1411" s="14">
        <v>2025</v>
      </c>
      <c r="D1411" s="14" t="str">
        <f t="array" ref="D1411">_xlfn.SWITCH(E1411,"Bagor","35.18.14","Sukomoro",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1" s="13" t="s">
        <v>7</v>
      </c>
      <c r="F1411" s="14" t="s">
        <v>2504</v>
      </c>
      <c r="G1411" s="14" t="s">
        <v>2505</v>
      </c>
      <c r="H1411" s="13" t="s">
        <v>2479</v>
      </c>
      <c r="I1411" s="14" t="s">
        <v>2506</v>
      </c>
      <c r="J1411" s="127">
        <v>4000000</v>
      </c>
      <c r="K1411" s="13" t="s">
        <v>11</v>
      </c>
      <c r="L1411" s="127">
        <f>J1411*170</f>
        <v>680000000</v>
      </c>
      <c r="O1411" s="147"/>
    </row>
    <row r="1412" spans="1:15" s="129" customFormat="1" ht="40" x14ac:dyDescent="0.35">
      <c r="A1412" s="14" t="s">
        <v>2986</v>
      </c>
      <c r="B1412" s="14" t="s">
        <v>18</v>
      </c>
      <c r="C1412" s="14">
        <v>2025</v>
      </c>
      <c r="D1412" s="14" t="str">
        <f t="array" ref="D1412">_xlfn.SWITCH(E1412,"Bagor","35.18.14","Sukomoro",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2" s="13" t="s">
        <v>7</v>
      </c>
      <c r="F1412" s="14" t="s">
        <v>2507</v>
      </c>
      <c r="G1412" s="14" t="s">
        <v>2508</v>
      </c>
      <c r="H1412" s="13" t="s">
        <v>2479</v>
      </c>
      <c r="I1412" s="14" t="s">
        <v>2509</v>
      </c>
      <c r="J1412" s="127">
        <v>3000000</v>
      </c>
      <c r="K1412" s="13" t="s">
        <v>1120</v>
      </c>
      <c r="L1412" s="127">
        <f>J1412*160</f>
        <v>480000000</v>
      </c>
      <c r="O1412" s="147"/>
    </row>
    <row r="1413" spans="1:15" s="129" customFormat="1" ht="70" x14ac:dyDescent="0.35">
      <c r="A1413" s="14" t="s">
        <v>2986</v>
      </c>
      <c r="B1413" s="14" t="s">
        <v>18</v>
      </c>
      <c r="C1413" s="14">
        <v>2025</v>
      </c>
      <c r="D1413" s="14" t="str">
        <f t="array" ref="D1413">_xlfn.SWITCH(E1413,"Bagor","35.18.14","Sukomoro",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13" s="13" t="s">
        <v>98</v>
      </c>
      <c r="F1413" s="14" t="s">
        <v>2510</v>
      </c>
      <c r="G1413" s="14" t="s">
        <v>2511</v>
      </c>
      <c r="H1413" s="13" t="s">
        <v>748</v>
      </c>
      <c r="I1413" s="14" t="s">
        <v>2512</v>
      </c>
      <c r="J1413" s="127">
        <v>35000</v>
      </c>
      <c r="K1413" s="13" t="s">
        <v>94</v>
      </c>
      <c r="L1413" s="127">
        <f>J1413*100000</f>
        <v>3500000000</v>
      </c>
      <c r="O1413" s="147"/>
    </row>
    <row r="1414" spans="1:15" s="129" customFormat="1" ht="60" x14ac:dyDescent="0.35">
      <c r="A1414" s="14" t="s">
        <v>2986</v>
      </c>
      <c r="B1414" s="14" t="s">
        <v>18</v>
      </c>
      <c r="C1414" s="14">
        <v>2025</v>
      </c>
      <c r="D1414" s="14" t="str">
        <f t="array" ref="D1414">_xlfn.SWITCH(E1414,"Bagor","35.18.14","Sukomoro",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14" s="13" t="s">
        <v>84</v>
      </c>
      <c r="F1414" s="14" t="s">
        <v>2513</v>
      </c>
      <c r="G1414" s="14" t="s">
        <v>2514</v>
      </c>
      <c r="H1414" s="13" t="s">
        <v>748</v>
      </c>
      <c r="I1414" s="14" t="s">
        <v>2515</v>
      </c>
      <c r="J1414" s="127">
        <v>4000000</v>
      </c>
      <c r="K1414" s="13" t="s">
        <v>2516</v>
      </c>
      <c r="L1414" s="127">
        <v>13170176450</v>
      </c>
      <c r="O1414" s="147"/>
    </row>
    <row r="1415" spans="1:15" s="129" customFormat="1" ht="70" x14ac:dyDescent="0.35">
      <c r="A1415" s="14" t="s">
        <v>2986</v>
      </c>
      <c r="B1415" s="14" t="s">
        <v>18</v>
      </c>
      <c r="C1415" s="14">
        <v>2025</v>
      </c>
      <c r="D1415" s="14" t="str">
        <f t="array" ref="D1415">_xlfn.SWITCH(E1415,"Bagor","35.18.14","Sukomoro",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5" s="13" t="s">
        <v>18</v>
      </c>
      <c r="F1415" s="14" t="s">
        <v>2517</v>
      </c>
      <c r="G1415" s="14" t="s">
        <v>2518</v>
      </c>
      <c r="H1415" s="13" t="s">
        <v>43</v>
      </c>
      <c r="I1415" s="14" t="s">
        <v>2519</v>
      </c>
      <c r="J1415" s="127">
        <v>6</v>
      </c>
      <c r="K1415" s="13" t="s">
        <v>53</v>
      </c>
      <c r="L1415" s="127">
        <v>648000000</v>
      </c>
      <c r="O1415" s="147"/>
    </row>
    <row r="1416" spans="1:15" s="129" customFormat="1" ht="60" x14ac:dyDescent="0.35">
      <c r="A1416" s="14" t="s">
        <v>2986</v>
      </c>
      <c r="B1416" s="14" t="s">
        <v>18</v>
      </c>
      <c r="C1416" s="14">
        <v>2025</v>
      </c>
      <c r="D1416" s="14" t="str">
        <f t="array" ref="D1416">_xlfn.SWITCH(E1416,"Jatikalen","35.18.20","Kertosono", "35.18.08","Lengkong","35.18.19","Loceret","35.18.04","Tanjunganom","35.18.11","Wilangan","35.18.15")</f>
        <v>35.18.11</v>
      </c>
      <c r="E1416" s="13" t="s">
        <v>27</v>
      </c>
      <c r="F1416" s="14" t="s">
        <v>2520</v>
      </c>
      <c r="G1416" s="14" t="s">
        <v>2521</v>
      </c>
      <c r="H1416" s="13" t="s">
        <v>748</v>
      </c>
      <c r="I1416" s="14" t="s">
        <v>2522</v>
      </c>
      <c r="J1416" s="127">
        <v>1000</v>
      </c>
      <c r="K1416" s="13" t="s">
        <v>1179</v>
      </c>
      <c r="L1416" s="127">
        <v>60000000</v>
      </c>
      <c r="O1416" s="147"/>
    </row>
    <row r="1417" spans="1:15" s="129" customFormat="1" ht="50" x14ac:dyDescent="0.35">
      <c r="A1417" s="14" t="s">
        <v>2986</v>
      </c>
      <c r="B1417" s="14" t="s">
        <v>18</v>
      </c>
      <c r="C1417" s="14">
        <v>2025</v>
      </c>
      <c r="D1417" s="14" t="str">
        <f t="array" ref="D1417">_xlfn.SWITCH(E1417,"Bagor","35.18.14","Sukomoro",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7" s="13" t="s">
        <v>35</v>
      </c>
      <c r="F1417" s="14" t="s">
        <v>2523</v>
      </c>
      <c r="G1417" s="14" t="s">
        <v>2524</v>
      </c>
      <c r="H1417" s="13" t="s">
        <v>43</v>
      </c>
      <c r="I1417" s="14" t="s">
        <v>2525</v>
      </c>
      <c r="J1417" s="127">
        <v>96141</v>
      </c>
      <c r="K1417" s="13" t="s">
        <v>1179</v>
      </c>
      <c r="L1417" s="127">
        <v>1274680000</v>
      </c>
      <c r="O1417" s="147"/>
    </row>
    <row r="1418" spans="1:15" s="129" customFormat="1" ht="60" x14ac:dyDescent="0.35">
      <c r="A1418" s="14" t="s">
        <v>2986</v>
      </c>
      <c r="B1418" s="14" t="s">
        <v>18</v>
      </c>
      <c r="C1418" s="14">
        <v>2025</v>
      </c>
      <c r="D1418" s="14" t="str">
        <f t="array" ref="D1418">_xlfn.SWITCH(E1418,"Jatikalen","35.18.20","Kertosono", "35.18.08","Lengkong","35.18.19","Loceret","35.18.04","Tanjunganom","35.18.11","Wilangan","35.18.15")</f>
        <v>35.18.04</v>
      </c>
      <c r="E1418" s="13" t="s">
        <v>15</v>
      </c>
      <c r="F1418" s="14" t="s">
        <v>2526</v>
      </c>
      <c r="G1418" s="14" t="s">
        <v>2527</v>
      </c>
      <c r="H1418" s="13" t="s">
        <v>2479</v>
      </c>
      <c r="I1418" s="14" t="s">
        <v>2528</v>
      </c>
      <c r="J1418" s="127">
        <v>100000</v>
      </c>
      <c r="K1418" s="13" t="s">
        <v>2529</v>
      </c>
      <c r="L1418" s="127"/>
      <c r="O1418" s="147"/>
    </row>
    <row r="1419" spans="1:15" s="129" customFormat="1" ht="40" x14ac:dyDescent="0.35">
      <c r="A1419" s="14" t="s">
        <v>2986</v>
      </c>
      <c r="B1419" s="14" t="s">
        <v>18</v>
      </c>
      <c r="C1419" s="14">
        <v>2025</v>
      </c>
      <c r="D1419" s="14" t="str">
        <f t="array" ref="D1419">_xlfn.SWITCH(E1419,"Bagor","35.18.14","Sukomoro",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9" s="13" t="s">
        <v>35</v>
      </c>
      <c r="F1419" s="14" t="s">
        <v>2530</v>
      </c>
      <c r="G1419" s="14" t="s">
        <v>2531</v>
      </c>
      <c r="H1419" s="13" t="s">
        <v>43</v>
      </c>
      <c r="I1419" s="14" t="s">
        <v>2532</v>
      </c>
      <c r="J1419" s="127"/>
      <c r="K1419" s="13"/>
      <c r="L1419" s="127"/>
      <c r="O1419" s="147"/>
    </row>
    <row r="1420" spans="1:15" s="129" customFormat="1" ht="60" x14ac:dyDescent="0.35">
      <c r="A1420" s="14" t="s">
        <v>2986</v>
      </c>
      <c r="B1420" s="14" t="s">
        <v>18</v>
      </c>
      <c r="C1420" s="14">
        <v>2025</v>
      </c>
      <c r="D1420" s="14" t="str">
        <f t="array" ref="D1420">_xlfn.SWITCH(E1420,"Jatikalen","35.18.20","Kertosono", "35.18.08","Lengkong","35.18.19","Loceret","35.18.04","Tanjunganom","35.18.11","Wilangan","35.18.15")</f>
        <v>35.18.04</v>
      </c>
      <c r="E1420" s="13" t="s">
        <v>15</v>
      </c>
      <c r="F1420" s="14" t="s">
        <v>2533</v>
      </c>
      <c r="G1420" s="14" t="s">
        <v>2534</v>
      </c>
      <c r="H1420" s="13" t="s">
        <v>43</v>
      </c>
      <c r="I1420" s="14" t="s">
        <v>2535</v>
      </c>
      <c r="J1420" s="127">
        <v>1902000</v>
      </c>
      <c r="K1420" s="13" t="s">
        <v>2536</v>
      </c>
      <c r="L1420" s="127">
        <f>J1420*270</f>
        <v>513540000</v>
      </c>
      <c r="O1420" s="147"/>
    </row>
    <row r="1421" spans="1:15" s="129" customFormat="1" ht="40" x14ac:dyDescent="0.35">
      <c r="A1421" s="14" t="s">
        <v>2986</v>
      </c>
      <c r="B1421" s="14" t="s">
        <v>18</v>
      </c>
      <c r="C1421" s="14">
        <v>2025</v>
      </c>
      <c r="D1421" s="14" t="str">
        <f t="array" ref="D1421">_xlfn.SWITCH(E1421,"Bagor","35.18.14","Sukomoro",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1" s="13" t="s">
        <v>18</v>
      </c>
      <c r="F1421" s="14" t="s">
        <v>2537</v>
      </c>
      <c r="G1421" s="14" t="s">
        <v>2538</v>
      </c>
      <c r="H1421" s="13" t="s">
        <v>2479</v>
      </c>
      <c r="I1421" s="14" t="s">
        <v>2539</v>
      </c>
      <c r="J1421" s="127">
        <v>3186834</v>
      </c>
      <c r="K1421" s="13" t="s">
        <v>1120</v>
      </c>
      <c r="L1421" s="127">
        <v>656531048</v>
      </c>
      <c r="O1421" s="147"/>
    </row>
    <row r="1422" spans="1:15" s="129" customFormat="1" ht="50" x14ac:dyDescent="0.35">
      <c r="A1422" s="14" t="s">
        <v>2986</v>
      </c>
      <c r="B1422" s="14" t="s">
        <v>18</v>
      </c>
      <c r="C1422" s="14">
        <v>2025</v>
      </c>
      <c r="D1422" s="14" t="str">
        <f t="array" ref="D1422">_xlfn.SWITCH(E1422,"Bagor","35.18.14","Sukomoro",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422" s="13" t="s">
        <v>91</v>
      </c>
      <c r="F1422" s="14" t="s">
        <v>2540</v>
      </c>
      <c r="G1422" s="14" t="s">
        <v>2541</v>
      </c>
      <c r="H1422" s="13" t="s">
        <v>43</v>
      </c>
      <c r="I1422" s="14" t="s">
        <v>2542</v>
      </c>
      <c r="J1422" s="127"/>
      <c r="K1422" s="13"/>
      <c r="L1422" s="127"/>
      <c r="O1422" s="147"/>
    </row>
    <row r="1423" spans="1:15" s="129" customFormat="1" ht="60" x14ac:dyDescent="0.35">
      <c r="A1423" s="14" t="s">
        <v>2986</v>
      </c>
      <c r="B1423" s="14" t="s">
        <v>18</v>
      </c>
      <c r="C1423" s="14">
        <v>2025</v>
      </c>
      <c r="D1423" s="14" t="str">
        <f t="array" ref="D1423">_xlfn.SWITCH(E1423,"Bagor","35.18.14","Sukomoro",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23" s="13" t="s">
        <v>35</v>
      </c>
      <c r="F1423" s="14" t="s">
        <v>2543</v>
      </c>
      <c r="G1423" s="14" t="s">
        <v>2544</v>
      </c>
      <c r="H1423" s="13" t="s">
        <v>43</v>
      </c>
      <c r="I1423" s="14" t="s">
        <v>2545</v>
      </c>
      <c r="J1423" s="127">
        <v>16500</v>
      </c>
      <c r="K1423" s="13" t="s">
        <v>2546</v>
      </c>
      <c r="L1423" s="127">
        <v>297000000</v>
      </c>
      <c r="O1423" s="147"/>
    </row>
    <row r="1424" spans="1:15" s="24" customFormat="1" ht="50" x14ac:dyDescent="0.35">
      <c r="A1424" s="14" t="s">
        <v>2986</v>
      </c>
      <c r="B1424" s="14" t="s">
        <v>18</v>
      </c>
      <c r="C1424" s="14">
        <v>2025</v>
      </c>
      <c r="D1424" s="14" t="str">
        <f t="array" ref="D1424">_xlfn.SWITCH(E1424,"Bagor","35.18.14","Sukomoro",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24" s="8" t="s">
        <v>102</v>
      </c>
      <c r="F1424" s="14" t="s">
        <v>2547</v>
      </c>
      <c r="G1424" s="139" t="s">
        <v>2548</v>
      </c>
      <c r="H1424" s="8" t="s">
        <v>43</v>
      </c>
      <c r="I1424" s="14" t="s">
        <v>2549</v>
      </c>
      <c r="J1424" s="12">
        <v>3</v>
      </c>
      <c r="K1424" s="8" t="s">
        <v>1102</v>
      </c>
      <c r="L1424" s="12">
        <v>12000000</v>
      </c>
      <c r="O1424" s="148"/>
    </row>
    <row r="1425" spans="1:15" s="24" customFormat="1" ht="120" x14ac:dyDescent="0.35">
      <c r="A1425" s="14" t="s">
        <v>2986</v>
      </c>
      <c r="B1425" s="14" t="s">
        <v>18</v>
      </c>
      <c r="C1425" s="14">
        <v>2025</v>
      </c>
      <c r="D1425" s="14" t="str">
        <f t="array" ref="D1425">_xlfn.SWITCH(E1425,"Bagor","35.18.14","Sukomoro",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25" s="8" t="s">
        <v>98</v>
      </c>
      <c r="F1425" s="14" t="s">
        <v>2510</v>
      </c>
      <c r="G1425" s="139" t="s">
        <v>2511</v>
      </c>
      <c r="H1425" s="8" t="s">
        <v>748</v>
      </c>
      <c r="I1425" s="14" t="s">
        <v>2550</v>
      </c>
      <c r="J1425" s="12">
        <v>150000</v>
      </c>
      <c r="K1425" s="8" t="s">
        <v>1186</v>
      </c>
      <c r="L1425" s="12">
        <v>60000</v>
      </c>
      <c r="O1425" s="148"/>
    </row>
    <row r="1426" spans="1:15" s="129" customFormat="1" ht="50" x14ac:dyDescent="0.35">
      <c r="A1426" s="14" t="s">
        <v>2986</v>
      </c>
      <c r="B1426" s="14" t="s">
        <v>18</v>
      </c>
      <c r="C1426" s="14">
        <v>2025</v>
      </c>
      <c r="D1426" s="14" t="str">
        <f t="array" ref="D1426">_xlfn.SWITCH(E1426,"Bagor","35.18.14","Sukomoro",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6" s="13" t="s">
        <v>18</v>
      </c>
      <c r="F1426" s="14" t="s">
        <v>2551</v>
      </c>
      <c r="G1426" s="14" t="s">
        <v>2552</v>
      </c>
      <c r="H1426" s="13" t="s">
        <v>748</v>
      </c>
      <c r="I1426" s="14" t="s">
        <v>2553</v>
      </c>
      <c r="J1426" s="127">
        <v>5548424</v>
      </c>
      <c r="K1426" s="13" t="s">
        <v>1120</v>
      </c>
      <c r="L1426" s="127">
        <v>1453237994</v>
      </c>
      <c r="O1426" s="147"/>
    </row>
    <row r="1427" spans="1:15" s="129" customFormat="1" ht="50" x14ac:dyDescent="0.35">
      <c r="A1427" s="14" t="s">
        <v>2986</v>
      </c>
      <c r="B1427" s="14" t="s">
        <v>18</v>
      </c>
      <c r="C1427" s="14">
        <v>2025</v>
      </c>
      <c r="D1427" s="14" t="str">
        <f t="array" ref="D1427">_xlfn.SWITCH(E1427,"Bagor","35.18.14","Sukomoro",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27" s="13" t="s">
        <v>57</v>
      </c>
      <c r="F1427" s="14" t="s">
        <v>2554</v>
      </c>
      <c r="G1427" s="14" t="s">
        <v>2555</v>
      </c>
      <c r="H1427" s="13" t="s">
        <v>20</v>
      </c>
      <c r="I1427" s="14" t="s">
        <v>2556</v>
      </c>
      <c r="J1427" s="127">
        <v>173.9</v>
      </c>
      <c r="K1427" s="13" t="s">
        <v>2529</v>
      </c>
      <c r="L1427" s="127">
        <v>130457925</v>
      </c>
      <c r="O1427" s="147"/>
    </row>
    <row r="1428" spans="1:15" s="129" customFormat="1" ht="40" x14ac:dyDescent="0.35">
      <c r="A1428" s="14" t="s">
        <v>2986</v>
      </c>
      <c r="B1428" s="14" t="s">
        <v>18</v>
      </c>
      <c r="C1428" s="14">
        <v>2025</v>
      </c>
      <c r="D1428" s="14" t="str">
        <f t="array" ref="D1428">_xlfn.SWITCH(E1428,"Bagor","35.18.14","Sukomoro",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428" s="13" t="s">
        <v>119</v>
      </c>
      <c r="F1428" s="14" t="s">
        <v>2557</v>
      </c>
      <c r="G1428" s="14" t="s">
        <v>2558</v>
      </c>
      <c r="H1428" s="13" t="s">
        <v>43</v>
      </c>
      <c r="I1428" s="14" t="s">
        <v>2559</v>
      </c>
      <c r="J1428" s="127">
        <v>290</v>
      </c>
      <c r="K1428" s="13" t="s">
        <v>45</v>
      </c>
      <c r="L1428" s="127">
        <v>220660000</v>
      </c>
      <c r="O1428" s="147"/>
    </row>
    <row r="1429" spans="1:15" s="129" customFormat="1" ht="50" x14ac:dyDescent="0.35">
      <c r="A1429" s="14" t="s">
        <v>2986</v>
      </c>
      <c r="B1429" s="14" t="s">
        <v>18</v>
      </c>
      <c r="C1429" s="14">
        <v>2025</v>
      </c>
      <c r="D1429" s="14" t="str">
        <f t="array" ref="D1429">_xlfn.SWITCH(E1429,"Bagor","35.18.14","Sukomoro",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429" s="13" t="s">
        <v>50</v>
      </c>
      <c r="F1429" s="14" t="s">
        <v>2560</v>
      </c>
      <c r="G1429" s="14" t="s">
        <v>2561</v>
      </c>
      <c r="H1429" s="13" t="s">
        <v>43</v>
      </c>
      <c r="I1429" s="14" t="s">
        <v>2562</v>
      </c>
      <c r="J1429" s="127"/>
      <c r="K1429" s="13"/>
      <c r="L1429" s="127"/>
      <c r="O1429" s="147"/>
    </row>
    <row r="1430" spans="1:15" s="129" customFormat="1" ht="40" x14ac:dyDescent="0.35">
      <c r="A1430" s="14" t="s">
        <v>2986</v>
      </c>
      <c r="B1430" s="14" t="s">
        <v>18</v>
      </c>
      <c r="C1430" s="14">
        <v>2025</v>
      </c>
      <c r="D1430" s="14" t="str">
        <f t="array" ref="D1430">_xlfn.SWITCH(E1430,"Bagor","35.18.14","Sukomoro",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0" s="13" t="s">
        <v>18</v>
      </c>
      <c r="F1430" s="14" t="s">
        <v>2563</v>
      </c>
      <c r="G1430" s="14" t="s">
        <v>2564</v>
      </c>
      <c r="H1430" s="13" t="s">
        <v>2479</v>
      </c>
      <c r="I1430" s="14" t="s">
        <v>2565</v>
      </c>
      <c r="J1430" s="127">
        <v>5125740</v>
      </c>
      <c r="K1430" s="13" t="s">
        <v>11</v>
      </c>
      <c r="L1430" s="127">
        <v>2073377310</v>
      </c>
      <c r="O1430" s="147"/>
    </row>
    <row r="1431" spans="1:15" s="129" customFormat="1" ht="60" x14ac:dyDescent="0.35">
      <c r="A1431" s="14" t="s">
        <v>2986</v>
      </c>
      <c r="B1431" s="14" t="s">
        <v>18</v>
      </c>
      <c r="C1431" s="14">
        <v>2025</v>
      </c>
      <c r="D1431" s="14" t="str">
        <f t="array" ref="D1431">_xlfn.SWITCH(E1431,"Bagor","35.18.14","Sukomoro",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431" s="13" t="s">
        <v>65</v>
      </c>
      <c r="F1431" s="14" t="s">
        <v>2566</v>
      </c>
      <c r="G1431" s="14" t="s">
        <v>2567</v>
      </c>
      <c r="H1431" s="13" t="s">
        <v>748</v>
      </c>
      <c r="I1431" s="14" t="s">
        <v>2568</v>
      </c>
      <c r="J1431" s="127">
        <v>100</v>
      </c>
      <c r="K1431" s="13" t="s">
        <v>45</v>
      </c>
      <c r="L1431" s="127">
        <f>J1431*20000000</f>
        <v>2000000000</v>
      </c>
      <c r="O1431" s="147"/>
    </row>
    <row r="1432" spans="1:15" s="129" customFormat="1" ht="50" x14ac:dyDescent="0.35">
      <c r="A1432" s="14" t="s">
        <v>2986</v>
      </c>
      <c r="B1432" s="14" t="s">
        <v>18</v>
      </c>
      <c r="C1432" s="14">
        <v>2025</v>
      </c>
      <c r="D1432" s="14" t="str">
        <f t="array" ref="D1432">_xlfn.SWITCH(E1432,"Jatikalen","35.18.20","Kertosono", "35.18.08","Lengkong","35.18.19","Loceret","35.18.04","Tanjunganom","35.18.11","Wilangan","35.18.15")</f>
        <v>35.18.04</v>
      </c>
      <c r="E1432" s="13" t="s">
        <v>15</v>
      </c>
      <c r="F1432" s="14" t="s">
        <v>2569</v>
      </c>
      <c r="G1432" s="14" t="s">
        <v>2570</v>
      </c>
      <c r="H1432" s="13" t="s">
        <v>2479</v>
      </c>
      <c r="I1432" s="14" t="s">
        <v>2571</v>
      </c>
      <c r="J1432" s="127">
        <v>1522</v>
      </c>
      <c r="K1432" s="13" t="s">
        <v>2529</v>
      </c>
      <c r="L1432" s="127">
        <v>2318839092</v>
      </c>
      <c r="O1432" s="147"/>
    </row>
    <row r="1433" spans="1:15" s="129" customFormat="1" ht="40" x14ac:dyDescent="0.35">
      <c r="A1433" s="14" t="s">
        <v>2986</v>
      </c>
      <c r="B1433" s="14" t="s">
        <v>18</v>
      </c>
      <c r="C1433" s="14">
        <v>2025</v>
      </c>
      <c r="D1433" s="14" t="str">
        <f t="array" ref="D1433">_xlfn.SWITCH(E1433,"Bagor","35.18.14","Sukomoro",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3" s="13" t="s">
        <v>84</v>
      </c>
      <c r="F1433" s="14" t="s">
        <v>2572</v>
      </c>
      <c r="G1433" s="14" t="s">
        <v>2573</v>
      </c>
      <c r="H1433" s="13" t="s">
        <v>748</v>
      </c>
      <c r="I1433" s="14" t="s">
        <v>2574</v>
      </c>
      <c r="J1433" s="127">
        <v>4349548</v>
      </c>
      <c r="K1433" s="13" t="s">
        <v>2516</v>
      </c>
      <c r="L1433" s="127">
        <f>J1433*1500</f>
        <v>6524322000</v>
      </c>
      <c r="O1433" s="147"/>
    </row>
    <row r="1434" spans="1:15" s="129" customFormat="1" ht="60" x14ac:dyDescent="0.35">
      <c r="A1434" s="14" t="s">
        <v>2986</v>
      </c>
      <c r="B1434" s="14" t="s">
        <v>18</v>
      </c>
      <c r="C1434" s="14">
        <v>2025</v>
      </c>
      <c r="D1434" s="14" t="str">
        <f t="array" ref="D1434">_xlfn.SWITCH(E1434,"Bagor","35.18.14","Sukomoro",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4" s="13" t="s">
        <v>84</v>
      </c>
      <c r="F1434" s="14" t="s">
        <v>2575</v>
      </c>
      <c r="G1434" s="14" t="s">
        <v>2330</v>
      </c>
      <c r="H1434" s="13" t="s">
        <v>748</v>
      </c>
      <c r="I1434" s="14" t="s">
        <v>2576</v>
      </c>
      <c r="J1434" s="127">
        <v>1260</v>
      </c>
      <c r="K1434" s="13" t="s">
        <v>730</v>
      </c>
      <c r="L1434" s="127">
        <v>4100000000</v>
      </c>
      <c r="O1434" s="147"/>
    </row>
    <row r="1435" spans="1:15" s="129" customFormat="1" ht="50" x14ac:dyDescent="0.35">
      <c r="A1435" s="14" t="s">
        <v>2986</v>
      </c>
      <c r="B1435" s="14" t="s">
        <v>18</v>
      </c>
      <c r="C1435" s="14">
        <v>2025</v>
      </c>
      <c r="D1435" s="14" t="str">
        <f t="array" ref="D1435">_xlfn.SWITCH(E1435,"Jatikalen","35.18.20","Kertosono", "35.18.08","Lengkong","35.18.19","Loceret","35.18.04","Tanjunganom","35.18.11","Wilangan","35.18.15")</f>
        <v>35.18.11</v>
      </c>
      <c r="E1435" s="13" t="s">
        <v>27</v>
      </c>
      <c r="F1435" s="14" t="s">
        <v>2577</v>
      </c>
      <c r="G1435" s="14" t="s">
        <v>2578</v>
      </c>
      <c r="H1435" s="13" t="s">
        <v>748</v>
      </c>
      <c r="I1435" s="14" t="s">
        <v>2579</v>
      </c>
      <c r="J1435" s="127">
        <v>148</v>
      </c>
      <c r="K1435" s="13" t="s">
        <v>730</v>
      </c>
      <c r="L1435" s="127">
        <v>192000000</v>
      </c>
      <c r="O1435" s="147"/>
    </row>
    <row r="1436" spans="1:15" s="129" customFormat="1" ht="50" x14ac:dyDescent="0.35">
      <c r="A1436" s="14" t="s">
        <v>2986</v>
      </c>
      <c r="B1436" s="14" t="s">
        <v>18</v>
      </c>
      <c r="C1436" s="14">
        <v>2025</v>
      </c>
      <c r="D1436" s="14" t="str">
        <f t="array" ref="D1436">_xlfn.SWITCH(E1436,"Bagor","35.18.14","Sukomoro",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36" s="13" t="s">
        <v>72</v>
      </c>
      <c r="F1436" s="14" t="s">
        <v>2580</v>
      </c>
      <c r="G1436" s="14" t="s">
        <v>2581</v>
      </c>
      <c r="H1436" s="13" t="s">
        <v>748</v>
      </c>
      <c r="I1436" s="14" t="s">
        <v>2582</v>
      </c>
      <c r="J1436" s="127">
        <v>4500</v>
      </c>
      <c r="K1436" s="13" t="s">
        <v>2583</v>
      </c>
      <c r="L1436" s="127">
        <v>1500000000</v>
      </c>
      <c r="O1436" s="147"/>
    </row>
    <row r="1437" spans="1:15" s="129" customFormat="1" ht="20" x14ac:dyDescent="0.35">
      <c r="A1437" s="14" t="s">
        <v>2986</v>
      </c>
      <c r="B1437" s="14" t="s">
        <v>18</v>
      </c>
      <c r="C1437" s="14">
        <v>2025</v>
      </c>
      <c r="D1437" s="14" t="str">
        <f t="array" ref="D1437">_xlfn.SWITCH(E1437,"Jatikalen","35.18.20","Kertosono", "35.18.08","Lengkong","35.18.19","Loceret","35.18.04","Tanjunganom","35.18.11","Wilangan","35.18.15")</f>
        <v>35.18.19</v>
      </c>
      <c r="E1437" s="13" t="s">
        <v>30</v>
      </c>
      <c r="F1437" s="14" t="s">
        <v>2584</v>
      </c>
      <c r="G1437" s="14" t="s">
        <v>2585</v>
      </c>
      <c r="H1437" s="13" t="s">
        <v>9</v>
      </c>
      <c r="I1437" s="14" t="s">
        <v>1071</v>
      </c>
      <c r="J1437" s="127">
        <v>24</v>
      </c>
      <c r="K1437" s="13" t="s">
        <v>2586</v>
      </c>
      <c r="L1437" s="127">
        <v>5600000</v>
      </c>
      <c r="O1437" s="147"/>
    </row>
    <row r="1438" spans="1:15" s="129" customFormat="1" ht="20" x14ac:dyDescent="0.35">
      <c r="A1438" s="14" t="s">
        <v>2986</v>
      </c>
      <c r="B1438" s="14" t="s">
        <v>18</v>
      </c>
      <c r="C1438" s="14">
        <v>2025</v>
      </c>
      <c r="D1438" s="14" t="str">
        <f t="array" ref="D1438">_xlfn.SWITCH(E1438,"Jatikalen","35.18.20","Kertosono", "35.18.08","Lengkong","35.18.19","Loceret","35.18.04","Tanjunganom","35.18.11","Wilangan","35.18.15")</f>
        <v>35.18.19</v>
      </c>
      <c r="E1438" s="13" t="s">
        <v>30</v>
      </c>
      <c r="F1438" s="14" t="s">
        <v>2587</v>
      </c>
      <c r="G1438" s="14" t="s">
        <v>2588</v>
      </c>
      <c r="H1438" s="13" t="s">
        <v>9</v>
      </c>
      <c r="I1438" s="14" t="s">
        <v>1846</v>
      </c>
      <c r="J1438" s="127">
        <v>1400</v>
      </c>
      <c r="K1438" s="13" t="s">
        <v>2589</v>
      </c>
      <c r="L1438" s="127">
        <v>1500000</v>
      </c>
      <c r="O1438" s="147"/>
    </row>
    <row r="1439" spans="1:15" s="129" customFormat="1" ht="20" x14ac:dyDescent="0.35">
      <c r="A1439" s="14" t="s">
        <v>2986</v>
      </c>
      <c r="B1439" s="14" t="s">
        <v>18</v>
      </c>
      <c r="C1439" s="14">
        <v>2025</v>
      </c>
      <c r="D1439" s="14" t="str">
        <f t="array" ref="D1439">_xlfn.SWITCH(E1439,"Jatikalen","35.18.20","Kertosono", "35.18.08","Lengkong","35.18.19","Loceret","35.18.04","Tanjunganom","35.18.11","Wilangan","35.18.15")</f>
        <v>35.18.19</v>
      </c>
      <c r="E1439" s="13" t="s">
        <v>30</v>
      </c>
      <c r="F1439" s="14" t="s">
        <v>2590</v>
      </c>
      <c r="G1439" s="14" t="s">
        <v>2591</v>
      </c>
      <c r="H1439" s="13" t="s">
        <v>9</v>
      </c>
      <c r="I1439" s="14" t="s">
        <v>1846</v>
      </c>
      <c r="J1439" s="127">
        <v>300</v>
      </c>
      <c r="K1439" s="13" t="s">
        <v>94</v>
      </c>
      <c r="L1439" s="127">
        <v>3000000</v>
      </c>
      <c r="O1439" s="147"/>
    </row>
    <row r="1440" spans="1:15" s="129" customFormat="1" ht="20" x14ac:dyDescent="0.35">
      <c r="A1440" s="14" t="s">
        <v>2986</v>
      </c>
      <c r="B1440" s="14" t="s">
        <v>18</v>
      </c>
      <c r="C1440" s="14">
        <v>2025</v>
      </c>
      <c r="D1440" s="14" t="str">
        <f t="array" ref="D1440">_xlfn.SWITCH(E1440,"Jatikalen","35.18.20","Kertosono", "35.18.08","Lengkong","35.18.19","Loceret","35.18.04","Tanjunganom","35.18.11","Wilangan","35.18.15")</f>
        <v>35.18.19</v>
      </c>
      <c r="E1440" s="13" t="s">
        <v>30</v>
      </c>
      <c r="F1440" s="14" t="s">
        <v>2590</v>
      </c>
      <c r="G1440" s="14" t="s">
        <v>2592</v>
      </c>
      <c r="H1440" s="13" t="s">
        <v>9</v>
      </c>
      <c r="I1440" s="14" t="s">
        <v>1846</v>
      </c>
      <c r="J1440" s="127">
        <v>375</v>
      </c>
      <c r="K1440" s="13" t="s">
        <v>94</v>
      </c>
      <c r="L1440" s="127">
        <v>1800000</v>
      </c>
      <c r="O1440" s="147"/>
    </row>
    <row r="1441" spans="1:15" s="129" customFormat="1" ht="20" x14ac:dyDescent="0.35">
      <c r="A1441" s="14" t="s">
        <v>2986</v>
      </c>
      <c r="B1441" s="14" t="s">
        <v>18</v>
      </c>
      <c r="C1441" s="14">
        <v>2025</v>
      </c>
      <c r="D1441" s="14" t="str">
        <f t="array" ref="D1441">_xlfn.SWITCH(E1441,"Jatikalen","35.18.20","Kertosono", "35.18.08","Lengkong","35.18.19","Loceret","35.18.04","Tanjunganom","35.18.11","Wilangan","35.18.15")</f>
        <v>35.18.19</v>
      </c>
      <c r="E1441" s="13" t="s">
        <v>30</v>
      </c>
      <c r="F1441" s="14" t="s">
        <v>2593</v>
      </c>
      <c r="G1441" s="14" t="s">
        <v>2594</v>
      </c>
      <c r="H1441" s="13" t="s">
        <v>9</v>
      </c>
      <c r="I1441" s="14" t="s">
        <v>2595</v>
      </c>
      <c r="J1441" s="127">
        <v>2400</v>
      </c>
      <c r="K1441" s="13" t="s">
        <v>2589</v>
      </c>
      <c r="L1441" s="127"/>
      <c r="O1441" s="147"/>
    </row>
    <row r="1442" spans="1:15" s="129" customFormat="1" ht="20" x14ac:dyDescent="0.35">
      <c r="A1442" s="14" t="s">
        <v>2986</v>
      </c>
      <c r="B1442" s="14" t="s">
        <v>18</v>
      </c>
      <c r="C1442" s="14">
        <v>2025</v>
      </c>
      <c r="D1442" s="14" t="str">
        <f t="array" ref="D1442">_xlfn.SWITCH(E1442,"Jatikalen","35.18.20","Kertosono", "35.18.08","Lengkong","35.18.19","Loceret","35.18.04","Tanjunganom","35.18.11","Wilangan","35.18.15")</f>
        <v>35.18.19</v>
      </c>
      <c r="E1442" s="13" t="s">
        <v>30</v>
      </c>
      <c r="F1442" s="14" t="s">
        <v>2596</v>
      </c>
      <c r="G1442" s="14" t="s">
        <v>2597</v>
      </c>
      <c r="H1442" s="13" t="s">
        <v>9</v>
      </c>
      <c r="I1442" s="14" t="s">
        <v>1703</v>
      </c>
      <c r="J1442" s="127">
        <v>300</v>
      </c>
      <c r="K1442" s="13" t="s">
        <v>2598</v>
      </c>
      <c r="L1442" s="127">
        <v>900000</v>
      </c>
      <c r="O1442" s="147"/>
    </row>
    <row r="1443" spans="1:15" s="129" customFormat="1" ht="20" x14ac:dyDescent="0.35">
      <c r="A1443" s="14" t="s">
        <v>2986</v>
      </c>
      <c r="B1443" s="14" t="s">
        <v>18</v>
      </c>
      <c r="C1443" s="14">
        <v>2025</v>
      </c>
      <c r="D1443" s="14" t="str">
        <f t="array" ref="D1443">_xlfn.SWITCH(E1443,"Jatikalen","35.18.20","Kertosono", "35.18.08","Lengkong","35.18.19","Loceret","35.18.04","Tanjunganom","35.18.11","Wilangan","35.18.15")</f>
        <v>35.18.19</v>
      </c>
      <c r="E1443" s="13" t="s">
        <v>30</v>
      </c>
      <c r="F1443" s="14" t="s">
        <v>2599</v>
      </c>
      <c r="G1443" s="14" t="s">
        <v>2600</v>
      </c>
      <c r="H1443" s="13" t="s">
        <v>9</v>
      </c>
      <c r="I1443" s="14" t="s">
        <v>2601</v>
      </c>
      <c r="J1443" s="127">
        <v>30</v>
      </c>
      <c r="K1443" s="13" t="s">
        <v>217</v>
      </c>
      <c r="L1443" s="127">
        <v>2000000</v>
      </c>
      <c r="O1443" s="147"/>
    </row>
    <row r="1444" spans="1:15" s="129" customFormat="1" ht="20" x14ac:dyDescent="0.35">
      <c r="A1444" s="14" t="s">
        <v>2986</v>
      </c>
      <c r="B1444" s="14" t="s">
        <v>18</v>
      </c>
      <c r="C1444" s="14">
        <v>2025</v>
      </c>
      <c r="D1444" s="14" t="str">
        <f t="array" ref="D1444">_xlfn.SWITCH(E1444,"Jatikalen","35.18.20","Kertosono", "35.18.08","Lengkong","35.18.19","Loceret","35.18.04","Tanjunganom","35.18.11","Wilangan","35.18.15")</f>
        <v>35.18.19</v>
      </c>
      <c r="E1444" s="13" t="s">
        <v>30</v>
      </c>
      <c r="F1444" s="14" t="s">
        <v>2602</v>
      </c>
      <c r="G1444" s="14" t="s">
        <v>2603</v>
      </c>
      <c r="H1444" s="13" t="s">
        <v>9</v>
      </c>
      <c r="I1444" s="14" t="s">
        <v>2604</v>
      </c>
      <c r="J1444" s="127">
        <v>300</v>
      </c>
      <c r="K1444" s="13" t="s">
        <v>2605</v>
      </c>
      <c r="L1444" s="127">
        <v>6000000</v>
      </c>
      <c r="O1444" s="147"/>
    </row>
    <row r="1445" spans="1:15" s="129" customFormat="1" ht="20" x14ac:dyDescent="0.35">
      <c r="A1445" s="14" t="s">
        <v>2986</v>
      </c>
      <c r="B1445" s="14" t="s">
        <v>18</v>
      </c>
      <c r="C1445" s="14">
        <v>2025</v>
      </c>
      <c r="D1445" s="14" t="str">
        <f t="array" ref="D1445">_xlfn.SWITCH(E1445,"Jatikalen","35.18.20","Kertosono", "35.18.08","Lengkong","35.18.19","Loceret","35.18.04","Tanjunganom","35.18.11","Wilangan","35.18.15")</f>
        <v>35.18.19</v>
      </c>
      <c r="E1445" s="13" t="s">
        <v>30</v>
      </c>
      <c r="F1445" s="14" t="s">
        <v>2606</v>
      </c>
      <c r="G1445" s="14" t="s">
        <v>2607</v>
      </c>
      <c r="H1445" s="13" t="s">
        <v>9</v>
      </c>
      <c r="I1445" s="14" t="s">
        <v>823</v>
      </c>
      <c r="J1445" s="127">
        <v>6000</v>
      </c>
      <c r="K1445" s="13" t="s">
        <v>2608</v>
      </c>
      <c r="L1445" s="127">
        <v>9000000</v>
      </c>
      <c r="O1445" s="147"/>
    </row>
    <row r="1446" spans="1:15" s="129" customFormat="1" ht="20" x14ac:dyDescent="0.35">
      <c r="A1446" s="14" t="s">
        <v>2986</v>
      </c>
      <c r="B1446" s="14" t="s">
        <v>18</v>
      </c>
      <c r="C1446" s="14">
        <v>2025</v>
      </c>
      <c r="D1446" s="14" t="str">
        <f t="array" ref="D1446">_xlfn.SWITCH(E1446,"Jatikalen","35.18.20","Kertosono", "35.18.08","Lengkong","35.18.19","Loceret","35.18.04","Tanjunganom","35.18.11","Wilangan","35.18.15")</f>
        <v>35.18.19</v>
      </c>
      <c r="E1446" s="13" t="s">
        <v>30</v>
      </c>
      <c r="F1446" s="14" t="s">
        <v>2609</v>
      </c>
      <c r="G1446" s="14" t="s">
        <v>2610</v>
      </c>
      <c r="H1446" s="13" t="s">
        <v>9</v>
      </c>
      <c r="I1446" s="14" t="s">
        <v>2611</v>
      </c>
      <c r="J1446" s="127">
        <v>30</v>
      </c>
      <c r="K1446" s="13" t="s">
        <v>217</v>
      </c>
      <c r="L1446" s="127">
        <v>1050000</v>
      </c>
      <c r="O1446" s="147"/>
    </row>
    <row r="1447" spans="1:15" s="129" customFormat="1" ht="20" x14ac:dyDescent="0.35">
      <c r="A1447" s="14" t="s">
        <v>2986</v>
      </c>
      <c r="B1447" s="14" t="s">
        <v>18</v>
      </c>
      <c r="C1447" s="14">
        <v>2025</v>
      </c>
      <c r="D1447" s="14" t="str">
        <f t="array" ref="D1447">_xlfn.SWITCH(E1447,"Jatikalen","35.18.20","Kertosono", "35.18.08","Lengkong","35.18.19","Loceret","35.18.04","Tanjunganom","35.18.11","Wilangan","35.18.15")</f>
        <v>35.18.19</v>
      </c>
      <c r="E1447" s="13" t="s">
        <v>30</v>
      </c>
      <c r="F1447" s="14" t="s">
        <v>2612</v>
      </c>
      <c r="G1447" s="14" t="s">
        <v>2613</v>
      </c>
      <c r="H1447" s="13" t="s">
        <v>9</v>
      </c>
      <c r="I1447" s="14" t="s">
        <v>823</v>
      </c>
      <c r="J1447" s="127">
        <v>9600</v>
      </c>
      <c r="K1447" s="13" t="s">
        <v>2614</v>
      </c>
      <c r="L1447" s="127">
        <v>19200000</v>
      </c>
      <c r="O1447" s="147"/>
    </row>
    <row r="1448" spans="1:15" s="129" customFormat="1" ht="20" x14ac:dyDescent="0.35">
      <c r="A1448" s="14" t="s">
        <v>2986</v>
      </c>
      <c r="B1448" s="14" t="s">
        <v>18</v>
      </c>
      <c r="C1448" s="14">
        <v>2025</v>
      </c>
      <c r="D1448" s="14" t="str">
        <f t="array" ref="D1448">_xlfn.SWITCH(E1448,"Jatikalen","35.18.20","Kertosono", "35.18.08","Lengkong","35.18.19","Loceret","35.18.04","Tanjunganom","35.18.11","Wilangan","35.18.15")</f>
        <v>35.18.19</v>
      </c>
      <c r="E1448" s="13" t="s">
        <v>30</v>
      </c>
      <c r="F1448" s="14" t="s">
        <v>2615</v>
      </c>
      <c r="G1448" s="14" t="s">
        <v>2616</v>
      </c>
      <c r="H1448" s="13" t="s">
        <v>9</v>
      </c>
      <c r="I1448" s="14" t="s">
        <v>823</v>
      </c>
      <c r="J1448" s="28">
        <v>800</v>
      </c>
      <c r="K1448" s="13" t="s">
        <v>2614</v>
      </c>
      <c r="L1448" s="15">
        <v>1380000</v>
      </c>
      <c r="O1448" s="147"/>
    </row>
    <row r="1449" spans="1:15" s="129" customFormat="1" ht="20" x14ac:dyDescent="0.35">
      <c r="A1449" s="14" t="s">
        <v>2986</v>
      </c>
      <c r="B1449" s="14" t="s">
        <v>18</v>
      </c>
      <c r="C1449" s="14">
        <v>2025</v>
      </c>
      <c r="D1449" s="14" t="str">
        <f t="array" ref="D1449">_xlfn.SWITCH(E1449,"Jatikalen","35.18.20","Kertosono", "35.18.08","Lengkong","35.18.19","Loceret","35.18.04","Tanjunganom","35.18.11","Wilangan","35.18.15")</f>
        <v>35.18.19</v>
      </c>
      <c r="E1449" s="13" t="s">
        <v>30</v>
      </c>
      <c r="F1449" s="14" t="s">
        <v>2617</v>
      </c>
      <c r="G1449" s="14" t="s">
        <v>2618</v>
      </c>
      <c r="H1449" s="13" t="s">
        <v>9</v>
      </c>
      <c r="I1449" s="14" t="s">
        <v>1071</v>
      </c>
      <c r="J1449" s="127">
        <v>50</v>
      </c>
      <c r="K1449" s="13" t="s">
        <v>217</v>
      </c>
      <c r="L1449" s="127">
        <v>3500000</v>
      </c>
      <c r="O1449" s="147"/>
    </row>
    <row r="1450" spans="1:15" s="129" customFormat="1" x14ac:dyDescent="0.35">
      <c r="A1450" s="14" t="s">
        <v>2986</v>
      </c>
      <c r="B1450" s="14" t="s">
        <v>18</v>
      </c>
      <c r="C1450" s="14">
        <v>2025</v>
      </c>
      <c r="D1450" s="14" t="str">
        <f t="array" ref="D1450">_xlfn.SWITCH(E1450,"Jatikalen","35.18.20","Kertosono", "35.18.08","Lengkong","35.18.19","Loceret","35.18.04","Tanjunganom","35.18.11","Wilangan","35.18.15")</f>
        <v>35.18.19</v>
      </c>
      <c r="E1450" s="13" t="s">
        <v>30</v>
      </c>
      <c r="F1450" s="14" t="s">
        <v>2619</v>
      </c>
      <c r="G1450" s="14" t="s">
        <v>2620</v>
      </c>
      <c r="H1450" s="13" t="s">
        <v>9</v>
      </c>
      <c r="I1450" s="14" t="s">
        <v>2621</v>
      </c>
      <c r="J1450" s="127">
        <v>63</v>
      </c>
      <c r="K1450" s="13" t="s">
        <v>217</v>
      </c>
      <c r="L1450" s="127">
        <v>2264000</v>
      </c>
      <c r="O1450" s="147"/>
    </row>
    <row r="1451" spans="1:15" s="129" customFormat="1" x14ac:dyDescent="0.35">
      <c r="A1451" s="14" t="s">
        <v>2986</v>
      </c>
      <c r="B1451" s="14" t="s">
        <v>18</v>
      </c>
      <c r="C1451" s="14">
        <v>2025</v>
      </c>
      <c r="D1451" s="14" t="str">
        <f t="array" ref="D1451">_xlfn.SWITCH(E1451,"Jatikalen","35.18.20","Kertosono", "35.18.08","Lengkong","35.18.19","Loceret","35.18.04","Tanjunganom","35.18.11","Wilangan","35.18.15")</f>
        <v>35.18.19</v>
      </c>
      <c r="E1451" s="13" t="s">
        <v>30</v>
      </c>
      <c r="F1451" s="14" t="s">
        <v>2622</v>
      </c>
      <c r="G1451" s="14" t="s">
        <v>2623</v>
      </c>
      <c r="H1451" s="13" t="s">
        <v>9</v>
      </c>
      <c r="I1451" s="14" t="s">
        <v>109</v>
      </c>
      <c r="J1451" s="127">
        <v>15</v>
      </c>
      <c r="K1451" s="13" t="s">
        <v>2624</v>
      </c>
      <c r="L1451" s="127">
        <v>3300000</v>
      </c>
      <c r="O1451" s="147"/>
    </row>
    <row r="1452" spans="1:15" s="129" customFormat="1" ht="20" x14ac:dyDescent="0.35">
      <c r="A1452" s="14" t="s">
        <v>2986</v>
      </c>
      <c r="B1452" s="14" t="s">
        <v>18</v>
      </c>
      <c r="C1452" s="14">
        <v>2025</v>
      </c>
      <c r="D1452" s="14" t="str">
        <f t="array" ref="D1452">_xlfn.SWITCH(E1452,"Jatikalen","35.18.20","Kertosono", "35.18.08","Lengkong","35.18.19","Loceret","35.18.04","Tanjunganom","35.18.11","Wilangan","35.18.15")</f>
        <v>35.18.19</v>
      </c>
      <c r="E1452" s="13" t="s">
        <v>30</v>
      </c>
      <c r="F1452" s="14" t="s">
        <v>2625</v>
      </c>
      <c r="G1452" s="14" t="s">
        <v>2626</v>
      </c>
      <c r="H1452" s="13" t="s">
        <v>9</v>
      </c>
      <c r="I1452" s="14" t="s">
        <v>1209</v>
      </c>
      <c r="J1452" s="127">
        <v>90</v>
      </c>
      <c r="K1452" s="13" t="s">
        <v>872</v>
      </c>
      <c r="L1452" s="127">
        <v>420000</v>
      </c>
      <c r="O1452" s="147"/>
    </row>
    <row r="1453" spans="1:15" s="129" customFormat="1" ht="20" x14ac:dyDescent="0.35">
      <c r="A1453" s="14" t="s">
        <v>2986</v>
      </c>
      <c r="B1453" s="14" t="s">
        <v>18</v>
      </c>
      <c r="C1453" s="14">
        <v>2025</v>
      </c>
      <c r="D1453" s="14" t="str">
        <f t="array" ref="D1453">_xlfn.SWITCH(E1453,"Jatikalen","35.18.20","Kertosono", "35.18.08","Lengkong","35.18.19","Loceret","35.18.04","Tanjunganom","35.18.11","Wilangan","35.18.15")</f>
        <v>35.18.19</v>
      </c>
      <c r="E1453" s="13" t="s">
        <v>30</v>
      </c>
      <c r="F1453" s="14" t="s">
        <v>2627</v>
      </c>
      <c r="G1453" s="14" t="s">
        <v>1071</v>
      </c>
      <c r="H1453" s="13" t="s">
        <v>9</v>
      </c>
      <c r="I1453" s="14" t="s">
        <v>2628</v>
      </c>
      <c r="J1453" s="127"/>
      <c r="K1453" s="13"/>
      <c r="L1453" s="127">
        <v>5000000</v>
      </c>
      <c r="O1453" s="147"/>
    </row>
    <row r="1454" spans="1:15" s="129" customFormat="1" ht="20" x14ac:dyDescent="0.35">
      <c r="A1454" s="14" t="s">
        <v>2986</v>
      </c>
      <c r="B1454" s="14" t="s">
        <v>18</v>
      </c>
      <c r="C1454" s="14">
        <v>2025</v>
      </c>
      <c r="D1454" s="14" t="str">
        <f t="array" ref="D1454">_xlfn.SWITCH(E1454,"Jatikalen","35.18.20","Kertosono", "35.18.08","Lengkong","35.18.19","Loceret","35.18.04","Tanjunganom","35.18.11","Wilangan","35.18.15")</f>
        <v>35.18.20</v>
      </c>
      <c r="E1454" s="13" t="s">
        <v>801</v>
      </c>
      <c r="F1454" s="14" t="s">
        <v>2629</v>
      </c>
      <c r="G1454" s="14" t="s">
        <v>2630</v>
      </c>
      <c r="H1454" s="13" t="s">
        <v>9</v>
      </c>
      <c r="I1454" s="14" t="s">
        <v>1846</v>
      </c>
      <c r="J1454" s="127">
        <v>400</v>
      </c>
      <c r="K1454" s="13" t="s">
        <v>1186</v>
      </c>
      <c r="L1454" s="127">
        <v>2000000</v>
      </c>
      <c r="O1454" s="147"/>
    </row>
    <row r="1455" spans="1:15" s="129" customFormat="1" ht="20" x14ac:dyDescent="0.35">
      <c r="A1455" s="14" t="s">
        <v>2986</v>
      </c>
      <c r="B1455" s="14" t="s">
        <v>18</v>
      </c>
      <c r="C1455" s="14">
        <v>2025</v>
      </c>
      <c r="D1455" s="14" t="str">
        <f t="array" ref="D1455">_xlfn.SWITCH(E1455,"Jatikalen","35.18.20","Kertosono", "35.18.08","Lengkong","35.18.19","Loceret","35.18.04","Tanjunganom","35.18.11","Wilangan","35.18.15")</f>
        <v>35.18.20</v>
      </c>
      <c r="E1455" s="13" t="s">
        <v>801</v>
      </c>
      <c r="F1455" s="14" t="s">
        <v>2631</v>
      </c>
      <c r="G1455" s="14" t="s">
        <v>2632</v>
      </c>
      <c r="H1455" s="13" t="s">
        <v>9</v>
      </c>
      <c r="I1455" s="14" t="s">
        <v>823</v>
      </c>
      <c r="J1455" s="127">
        <v>150</v>
      </c>
      <c r="K1455" s="13" t="s">
        <v>217</v>
      </c>
      <c r="L1455" s="127">
        <v>2100000</v>
      </c>
      <c r="O1455" s="147"/>
    </row>
    <row r="1456" spans="1:15" s="129" customFormat="1" ht="20" x14ac:dyDescent="0.35">
      <c r="A1456" s="14" t="s">
        <v>2986</v>
      </c>
      <c r="B1456" s="14" t="s">
        <v>18</v>
      </c>
      <c r="C1456" s="14">
        <v>2025</v>
      </c>
      <c r="D1456" s="14" t="str">
        <f t="array" ref="D1456">_xlfn.SWITCH(E1456,"Jatikalen","35.18.20","Kertosono", "35.18.08","Lengkong","35.18.19","Loceret","35.18.04","Tanjunganom","35.18.11","Wilangan","35.18.15")</f>
        <v>35.18.20</v>
      </c>
      <c r="E1456" s="13" t="s">
        <v>801</v>
      </c>
      <c r="F1456" s="14" t="s">
        <v>2633</v>
      </c>
      <c r="G1456" s="14" t="s">
        <v>2634</v>
      </c>
      <c r="H1456" s="13" t="s">
        <v>9</v>
      </c>
      <c r="I1456" s="14" t="s">
        <v>2635</v>
      </c>
      <c r="J1456" s="127">
        <v>2850</v>
      </c>
      <c r="K1456" s="13" t="s">
        <v>1894</v>
      </c>
      <c r="L1456" s="127">
        <v>1900000</v>
      </c>
      <c r="O1456" s="147"/>
    </row>
    <row r="1457" spans="1:15" s="129" customFormat="1" ht="20" x14ac:dyDescent="0.35">
      <c r="A1457" s="14" t="s">
        <v>2986</v>
      </c>
      <c r="B1457" s="14" t="s">
        <v>18</v>
      </c>
      <c r="C1457" s="14">
        <v>2025</v>
      </c>
      <c r="D1457" s="14" t="str">
        <f t="array" ref="D1457">_xlfn.SWITCH(E1457,"Jatikalen","35.18.20","Kertosono", "35.18.08","Lengkong","35.18.19","Loceret","35.18.04","Tanjunganom","35.18.11","Wilangan","35.18.15")</f>
        <v>35.18.20</v>
      </c>
      <c r="E1457" s="13" t="s">
        <v>801</v>
      </c>
      <c r="F1457" s="14" t="s">
        <v>2636</v>
      </c>
      <c r="G1457" s="14" t="s">
        <v>2637</v>
      </c>
      <c r="H1457" s="13" t="s">
        <v>9</v>
      </c>
      <c r="I1457" s="14" t="s">
        <v>109</v>
      </c>
      <c r="J1457" s="127">
        <v>128</v>
      </c>
      <c r="K1457" s="13" t="s">
        <v>1894</v>
      </c>
      <c r="L1457" s="127"/>
      <c r="O1457" s="147"/>
    </row>
    <row r="1458" spans="1:15" s="129" customFormat="1" ht="20" x14ac:dyDescent="0.35">
      <c r="A1458" s="14" t="s">
        <v>2986</v>
      </c>
      <c r="B1458" s="14" t="s">
        <v>18</v>
      </c>
      <c r="C1458" s="14">
        <v>2025</v>
      </c>
      <c r="D1458" s="14" t="str">
        <f t="array" ref="D1458">_xlfn.SWITCH(E1458,"Jatikalen","35.18.20","Kertosono", "35.18.08","Lengkong","35.18.19","Loceret","35.18.04","Tanjunganom","35.18.11","Wilangan","35.18.15")</f>
        <v>35.18.20</v>
      </c>
      <c r="E1458" s="13" t="s">
        <v>801</v>
      </c>
      <c r="F1458" s="14" t="s">
        <v>2638</v>
      </c>
      <c r="G1458" s="14" t="s">
        <v>2639</v>
      </c>
      <c r="H1458" s="13" t="s">
        <v>9</v>
      </c>
      <c r="I1458" s="14" t="s">
        <v>1846</v>
      </c>
      <c r="J1458" s="127">
        <v>1000</v>
      </c>
      <c r="K1458" s="13" t="s">
        <v>1186</v>
      </c>
      <c r="L1458" s="127">
        <v>4000000</v>
      </c>
      <c r="O1458" s="147"/>
    </row>
    <row r="1459" spans="1:15" s="129" customFormat="1" x14ac:dyDescent="0.35">
      <c r="A1459" s="14" t="s">
        <v>2986</v>
      </c>
      <c r="B1459" s="14" t="s">
        <v>18</v>
      </c>
      <c r="C1459" s="14">
        <v>2025</v>
      </c>
      <c r="D1459" s="14" t="str">
        <f t="array" ref="D1459">_xlfn.SWITCH(E1459,"Jatikalen","35.18.20","Kertosono", "35.18.08","Lengkong","35.18.19","Loceret","35.18.04","Tanjunganom","35.18.11","Wilangan","35.18.15")</f>
        <v>35.18.20</v>
      </c>
      <c r="E1459" s="13" t="s">
        <v>801</v>
      </c>
      <c r="F1459" s="14" t="s">
        <v>2640</v>
      </c>
      <c r="G1459" s="14" t="s">
        <v>2641</v>
      </c>
      <c r="H1459" s="13" t="s">
        <v>9</v>
      </c>
      <c r="I1459" s="139" t="s">
        <v>2642</v>
      </c>
      <c r="J1459" s="12">
        <v>2999</v>
      </c>
      <c r="K1459" s="8" t="s">
        <v>953</v>
      </c>
      <c r="L1459" s="12">
        <v>4499025</v>
      </c>
      <c r="O1459" s="147"/>
    </row>
    <row r="1460" spans="1:15" s="24" customFormat="1" x14ac:dyDescent="0.35">
      <c r="A1460" s="14" t="s">
        <v>2986</v>
      </c>
      <c r="B1460" s="14" t="s">
        <v>18</v>
      </c>
      <c r="C1460" s="14">
        <v>2025</v>
      </c>
      <c r="D1460" s="14" t="str">
        <f t="array" ref="D1460">_xlfn.SWITCH(E1460,"Jatikalen","35.18.20","Kertosono", "35.18.08","Lengkong","35.18.19","Loceret","35.18.04","Tanjunganom","35.18.11","Wilangan","35.18.15")</f>
        <v>35.18.20</v>
      </c>
      <c r="E1460" s="13" t="s">
        <v>801</v>
      </c>
      <c r="F1460" s="139" t="s">
        <v>2643</v>
      </c>
      <c r="G1460" s="139" t="s">
        <v>2644</v>
      </c>
      <c r="H1460" s="13" t="s">
        <v>9</v>
      </c>
      <c r="I1460" s="139" t="s">
        <v>1209</v>
      </c>
      <c r="J1460" s="12">
        <v>450</v>
      </c>
      <c r="K1460" s="8" t="s">
        <v>217</v>
      </c>
      <c r="L1460" s="12">
        <v>7500000</v>
      </c>
      <c r="O1460" s="148"/>
    </row>
    <row r="1461" spans="1:15" s="24" customFormat="1" x14ac:dyDescent="0.35">
      <c r="A1461" s="14" t="s">
        <v>2986</v>
      </c>
      <c r="B1461" s="14" t="s">
        <v>18</v>
      </c>
      <c r="C1461" s="14">
        <v>2025</v>
      </c>
      <c r="D1461" s="14" t="str">
        <f t="array" ref="D1461">_xlfn.SWITCH(E1461,"Jatikalen","35.18.20","Kertosono", "35.18.08","Lengkong","35.18.19","Loceret","35.18.04","Tanjunganom","35.18.11","Wilangan","35.18.15")</f>
        <v>35.18.20</v>
      </c>
      <c r="E1461" s="13" t="s">
        <v>801</v>
      </c>
      <c r="F1461" s="139" t="s">
        <v>2645</v>
      </c>
      <c r="G1461" s="139" t="s">
        <v>2646</v>
      </c>
      <c r="H1461" s="13" t="s">
        <v>9</v>
      </c>
      <c r="I1461" s="139" t="s">
        <v>1209</v>
      </c>
      <c r="J1461" s="12">
        <v>900</v>
      </c>
      <c r="K1461" s="8" t="s">
        <v>217</v>
      </c>
      <c r="L1461" s="12">
        <v>13800000</v>
      </c>
      <c r="O1461" s="148"/>
    </row>
    <row r="1462" spans="1:15" s="24" customFormat="1" ht="20" x14ac:dyDescent="0.35">
      <c r="A1462" s="14" t="s">
        <v>2986</v>
      </c>
      <c r="B1462" s="14" t="s">
        <v>18</v>
      </c>
      <c r="C1462" s="14">
        <v>2025</v>
      </c>
      <c r="D1462" s="14" t="str">
        <f t="array" ref="D1462">_xlfn.SWITCH(E1462,"Jatikalen","35.18.20","Kertosono", "35.18.08","Lengkong","35.18.19","Loceret","35.18.04","Tanjunganom","35.18.11","Wilangan","35.18.15")</f>
        <v>35.18.20</v>
      </c>
      <c r="E1462" s="13" t="s">
        <v>801</v>
      </c>
      <c r="F1462" s="14" t="s">
        <v>2647</v>
      </c>
      <c r="G1462" s="139" t="s">
        <v>2648</v>
      </c>
      <c r="H1462" s="13" t="s">
        <v>9</v>
      </c>
      <c r="I1462" s="139" t="s">
        <v>2649</v>
      </c>
      <c r="J1462" s="12">
        <v>60</v>
      </c>
      <c r="K1462" s="8" t="s">
        <v>2605</v>
      </c>
      <c r="L1462" s="12"/>
      <c r="O1462" s="148"/>
    </row>
    <row r="1463" spans="1:15" s="24" customFormat="1" x14ac:dyDescent="0.35">
      <c r="A1463" s="14" t="s">
        <v>2986</v>
      </c>
      <c r="B1463" s="14" t="s">
        <v>18</v>
      </c>
      <c r="C1463" s="14">
        <v>2025</v>
      </c>
      <c r="D1463" s="14" t="str">
        <f t="array" ref="D1463">_xlfn.SWITCH(E1463,"Jatikalen","35.18.20","Kertosono", "35.18.08","Lengkong","35.18.19","Loceret","35.18.04","Tanjunganom","35.18.11","Wilangan","35.18.15")</f>
        <v>35.18.20</v>
      </c>
      <c r="E1463" s="13" t="s">
        <v>801</v>
      </c>
      <c r="F1463" s="139" t="s">
        <v>2650</v>
      </c>
      <c r="G1463" s="139" t="s">
        <v>2651</v>
      </c>
      <c r="H1463" s="8"/>
      <c r="I1463" s="139"/>
      <c r="J1463" s="12"/>
      <c r="K1463" s="8"/>
      <c r="L1463" s="12"/>
      <c r="O1463" s="148"/>
    </row>
    <row r="1464" spans="1:15" s="123" customFormat="1" ht="30" x14ac:dyDescent="0.35">
      <c r="A1464" s="14" t="s">
        <v>2986</v>
      </c>
      <c r="B1464" s="14" t="s">
        <v>18</v>
      </c>
      <c r="C1464" s="14">
        <v>2025</v>
      </c>
      <c r="D1464" s="14" t="str">
        <f t="array" ref="D1464">_xlfn.SWITCH(E1464,"Bagor","35.18.14","Sukomoro",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4" s="149" t="s">
        <v>102</v>
      </c>
      <c r="F1464" s="78" t="s">
        <v>2652</v>
      </c>
      <c r="G1464" s="150" t="s">
        <v>2653</v>
      </c>
      <c r="H1464" s="151" t="s">
        <v>9</v>
      </c>
      <c r="I1464" s="78" t="s">
        <v>2654</v>
      </c>
      <c r="J1464" s="153">
        <v>950</v>
      </c>
      <c r="K1464" s="149" t="s">
        <v>2655</v>
      </c>
      <c r="L1464" s="154">
        <v>50000000</v>
      </c>
      <c r="M1464" s="24"/>
      <c r="O1464" s="124"/>
    </row>
    <row r="1465" spans="1:15" s="123" customFormat="1" ht="30" x14ac:dyDescent="0.35">
      <c r="A1465" s="14" t="s">
        <v>2986</v>
      </c>
      <c r="B1465" s="14" t="s">
        <v>18</v>
      </c>
      <c r="C1465" s="14">
        <v>2025</v>
      </c>
      <c r="D1465" s="14" t="str">
        <f t="array" ref="D1465">_xlfn.SWITCH(E1465,"Bagor","35.18.14","Sukomoro",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5" s="149" t="s">
        <v>102</v>
      </c>
      <c r="F1465" s="155" t="s">
        <v>2652</v>
      </c>
      <c r="G1465" s="156" t="s">
        <v>2656</v>
      </c>
      <c r="H1465" s="151" t="s">
        <v>9</v>
      </c>
      <c r="I1465" s="78" t="s">
        <v>2657</v>
      </c>
      <c r="J1465" s="152">
        <v>500</v>
      </c>
      <c r="K1465" s="157" t="s">
        <v>2349</v>
      </c>
      <c r="L1465" s="154">
        <v>4000000</v>
      </c>
      <c r="M1465" s="24"/>
      <c r="O1465" s="124"/>
    </row>
    <row r="1466" spans="1:15" ht="30" x14ac:dyDescent="0.2">
      <c r="A1466" s="14" t="s">
        <v>2986</v>
      </c>
      <c r="B1466" s="14" t="s">
        <v>18</v>
      </c>
      <c r="C1466" s="14">
        <v>2025</v>
      </c>
      <c r="D1466" s="14" t="str">
        <f t="array" ref="D1466">_xlfn.SWITCH(E1466,"Bagor","35.18.14","Sukomoro",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6" s="158" t="s">
        <v>102</v>
      </c>
      <c r="F1466" s="111" t="s">
        <v>2652</v>
      </c>
      <c r="G1466" s="156" t="s">
        <v>2658</v>
      </c>
      <c r="H1466" s="159" t="s">
        <v>9</v>
      </c>
      <c r="I1466" s="104" t="s">
        <v>2659</v>
      </c>
      <c r="J1466" s="160">
        <v>1000</v>
      </c>
      <c r="K1466" s="161" t="s">
        <v>2349</v>
      </c>
      <c r="L1466" s="162">
        <v>10000000</v>
      </c>
    </row>
    <row r="1467" spans="1:15" ht="30" x14ac:dyDescent="0.2">
      <c r="A1467" s="14" t="s">
        <v>2986</v>
      </c>
      <c r="B1467" s="14" t="s">
        <v>18</v>
      </c>
      <c r="C1467" s="14">
        <v>2025</v>
      </c>
      <c r="D1467" s="14" t="str">
        <f t="array" ref="D1467">_xlfn.SWITCH(E1467,"Bagor","35.18.14","Sukomoro",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7" s="158" t="s">
        <v>102</v>
      </c>
      <c r="F1467" s="111" t="s">
        <v>2652</v>
      </c>
      <c r="G1467" s="156" t="s">
        <v>2660</v>
      </c>
      <c r="H1467" s="159" t="s">
        <v>9</v>
      </c>
      <c r="I1467" s="104" t="s">
        <v>2661</v>
      </c>
      <c r="J1467" s="160">
        <v>1000</v>
      </c>
      <c r="K1467" s="161" t="s">
        <v>2349</v>
      </c>
      <c r="L1467" s="162">
        <v>10000000</v>
      </c>
    </row>
    <row r="1468" spans="1:15" ht="30" x14ac:dyDescent="0.2">
      <c r="A1468" s="14" t="s">
        <v>2986</v>
      </c>
      <c r="B1468" s="14" t="s">
        <v>18</v>
      </c>
      <c r="C1468" s="14">
        <v>2025</v>
      </c>
      <c r="D1468" s="14" t="str">
        <f t="array" ref="D1468">_xlfn.SWITCH(E1468,"Bagor","35.18.14","Sukomoro",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8" s="158" t="s">
        <v>102</v>
      </c>
      <c r="F1468" s="111" t="s">
        <v>2662</v>
      </c>
      <c r="G1468" s="157" t="s">
        <v>2663</v>
      </c>
      <c r="H1468" s="159" t="s">
        <v>9</v>
      </c>
      <c r="I1468" s="163" t="s">
        <v>2664</v>
      </c>
      <c r="J1468" s="160">
        <v>1500</v>
      </c>
      <c r="K1468" s="161" t="s">
        <v>2349</v>
      </c>
      <c r="L1468" s="162">
        <v>1000000</v>
      </c>
    </row>
    <row r="1469" spans="1:15" ht="30" x14ac:dyDescent="0.2">
      <c r="A1469" s="14" t="s">
        <v>2986</v>
      </c>
      <c r="B1469" s="14" t="s">
        <v>18</v>
      </c>
      <c r="C1469" s="14">
        <v>2025</v>
      </c>
      <c r="D1469" s="14" t="str">
        <f t="array" ref="D1469">_xlfn.SWITCH(E1469,"Bagor","35.18.14","Sukomoro",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9" s="158" t="s">
        <v>102</v>
      </c>
      <c r="F1469" s="111" t="s">
        <v>2662</v>
      </c>
      <c r="G1469" s="157" t="s">
        <v>2665</v>
      </c>
      <c r="H1469" s="159" t="s">
        <v>9</v>
      </c>
      <c r="I1469" s="163" t="s">
        <v>2666</v>
      </c>
      <c r="J1469" s="160">
        <v>2500</v>
      </c>
      <c r="K1469" s="161" t="s">
        <v>2349</v>
      </c>
      <c r="L1469" s="162">
        <v>3000000</v>
      </c>
    </row>
    <row r="1470" spans="1:15" ht="30" x14ac:dyDescent="0.2">
      <c r="A1470" s="14" t="s">
        <v>2986</v>
      </c>
      <c r="B1470" s="14" t="s">
        <v>18</v>
      </c>
      <c r="C1470" s="14">
        <v>2025</v>
      </c>
      <c r="D1470" s="14" t="str">
        <f t="array" ref="D1470">_xlfn.SWITCH(E1470,"Bagor","35.18.14","Sukomoro",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0" s="158" t="s">
        <v>102</v>
      </c>
      <c r="F1470" s="111" t="s">
        <v>2667</v>
      </c>
      <c r="G1470" s="157" t="s">
        <v>2668</v>
      </c>
      <c r="H1470" s="159" t="s">
        <v>9</v>
      </c>
      <c r="I1470" s="163" t="s">
        <v>2669</v>
      </c>
      <c r="J1470" s="160">
        <v>1000</v>
      </c>
      <c r="K1470" s="161" t="s">
        <v>2349</v>
      </c>
      <c r="L1470" s="162">
        <v>2000000</v>
      </c>
    </row>
    <row r="1471" spans="1:15" ht="30" x14ac:dyDescent="0.2">
      <c r="A1471" s="14" t="s">
        <v>2986</v>
      </c>
      <c r="B1471" s="14" t="s">
        <v>18</v>
      </c>
      <c r="C1471" s="14">
        <v>2025</v>
      </c>
      <c r="D1471" s="14" t="str">
        <f t="array" ref="D1471">_xlfn.SWITCH(E1471,"Bagor","35.18.14","Sukomoro",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1" s="158" t="s">
        <v>102</v>
      </c>
      <c r="F1471" s="111" t="s">
        <v>2670</v>
      </c>
      <c r="G1471" s="157" t="s">
        <v>2671</v>
      </c>
      <c r="H1471" s="159" t="s">
        <v>9</v>
      </c>
      <c r="I1471" s="163" t="s">
        <v>2671</v>
      </c>
      <c r="J1471" s="160">
        <v>5000</v>
      </c>
      <c r="K1471" s="161" t="s">
        <v>2349</v>
      </c>
      <c r="L1471" s="162">
        <v>5000000</v>
      </c>
    </row>
    <row r="1472" spans="1:15" ht="30" x14ac:dyDescent="0.2">
      <c r="A1472" s="14" t="s">
        <v>2986</v>
      </c>
      <c r="B1472" s="14" t="s">
        <v>18</v>
      </c>
      <c r="C1472" s="14">
        <v>2025</v>
      </c>
      <c r="D1472" s="14" t="str">
        <f t="array" ref="D1472">_xlfn.SWITCH(E1472,"Bagor","35.18.14","Sukomoro",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2" s="158" t="s">
        <v>102</v>
      </c>
      <c r="F1472" s="111" t="s">
        <v>2670</v>
      </c>
      <c r="G1472" s="157" t="s">
        <v>2672</v>
      </c>
      <c r="H1472" s="159" t="s">
        <v>9</v>
      </c>
      <c r="I1472" s="163" t="s">
        <v>2673</v>
      </c>
      <c r="J1472" s="160">
        <v>500</v>
      </c>
      <c r="K1472" s="161" t="s">
        <v>2349</v>
      </c>
      <c r="L1472" s="162">
        <v>2000000</v>
      </c>
    </row>
    <row r="1473" spans="1:67" ht="30" x14ac:dyDescent="0.2">
      <c r="A1473" s="14" t="s">
        <v>2986</v>
      </c>
      <c r="B1473" s="14" t="s">
        <v>18</v>
      </c>
      <c r="C1473" s="14">
        <v>2025</v>
      </c>
      <c r="D1473" s="14" t="str">
        <f t="array" ref="D1473">_xlfn.SWITCH(E1473,"Bagor","35.18.14","Sukomoro",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3" s="158" t="s">
        <v>102</v>
      </c>
      <c r="F1473" s="111" t="s">
        <v>2670</v>
      </c>
      <c r="G1473" s="157" t="s">
        <v>2674</v>
      </c>
      <c r="H1473" s="159" t="s">
        <v>9</v>
      </c>
      <c r="I1473" s="163" t="s">
        <v>2675</v>
      </c>
      <c r="J1473" s="160">
        <v>500</v>
      </c>
      <c r="K1473" s="161" t="s">
        <v>2358</v>
      </c>
      <c r="L1473" s="162">
        <v>3500000</v>
      </c>
    </row>
    <row r="1474" spans="1:67" ht="30" x14ac:dyDescent="0.2">
      <c r="A1474" s="14" t="s">
        <v>2986</v>
      </c>
      <c r="B1474" s="14" t="s">
        <v>18</v>
      </c>
      <c r="C1474" s="14">
        <v>2025</v>
      </c>
      <c r="D1474" s="14" t="str">
        <f t="array" ref="D1474">_xlfn.SWITCH(E1474,"Bagor","35.18.14","Sukomoro",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4" s="158" t="s">
        <v>102</v>
      </c>
      <c r="F1474" s="111" t="s">
        <v>2670</v>
      </c>
      <c r="G1474" s="157" t="s">
        <v>2676</v>
      </c>
      <c r="H1474" s="159" t="s">
        <v>9</v>
      </c>
      <c r="I1474" s="163" t="s">
        <v>2675</v>
      </c>
      <c r="J1474" s="160">
        <v>500</v>
      </c>
      <c r="K1474" s="161" t="s">
        <v>2358</v>
      </c>
      <c r="L1474" s="162">
        <v>3500000</v>
      </c>
    </row>
    <row r="1475" spans="1:67" ht="30" x14ac:dyDescent="0.2">
      <c r="A1475" s="14" t="s">
        <v>2986</v>
      </c>
      <c r="B1475" s="14" t="s">
        <v>18</v>
      </c>
      <c r="C1475" s="14">
        <v>2025</v>
      </c>
      <c r="D1475" s="14" t="str">
        <f t="array" ref="D1475">_xlfn.SWITCH(E1475,"Bagor","35.18.14","Sukomoro",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5" s="158" t="s">
        <v>102</v>
      </c>
      <c r="F1475" s="111" t="s">
        <v>2677</v>
      </c>
      <c r="G1475" s="157" t="s">
        <v>2678</v>
      </c>
      <c r="H1475" s="159" t="s">
        <v>9</v>
      </c>
      <c r="I1475" s="163" t="s">
        <v>2679</v>
      </c>
      <c r="J1475" s="160">
        <v>1000</v>
      </c>
      <c r="K1475" s="161" t="s">
        <v>2349</v>
      </c>
      <c r="L1475" s="162">
        <v>5000000</v>
      </c>
    </row>
    <row r="1476" spans="1:67" s="1" customFormat="1" ht="30" x14ac:dyDescent="0.2">
      <c r="A1476" s="14" t="s">
        <v>2986</v>
      </c>
      <c r="B1476" s="14" t="s">
        <v>18</v>
      </c>
      <c r="C1476" s="14">
        <v>2025</v>
      </c>
      <c r="D1476" s="14" t="str">
        <f t="array" ref="D1476">_xlfn.SWITCH(E1476,"Bagor","35.18.14","Sukomoro",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6" s="158" t="s">
        <v>102</v>
      </c>
      <c r="F1476" s="111" t="s">
        <v>2677</v>
      </c>
      <c r="G1476" s="157" t="s">
        <v>2680</v>
      </c>
      <c r="H1476" s="159" t="s">
        <v>9</v>
      </c>
      <c r="I1476" s="163" t="s">
        <v>2681</v>
      </c>
      <c r="J1476" s="160">
        <v>1000</v>
      </c>
      <c r="K1476" s="161" t="s">
        <v>2349</v>
      </c>
      <c r="L1476" s="162">
        <v>2000000</v>
      </c>
      <c r="N1476" s="2"/>
      <c r="O1476" s="3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</row>
    <row r="1477" spans="1:67" s="1" customFormat="1" ht="30" x14ac:dyDescent="0.2">
      <c r="A1477" s="14" t="s">
        <v>2986</v>
      </c>
      <c r="B1477" s="14" t="s">
        <v>18</v>
      </c>
      <c r="C1477" s="14">
        <v>2025</v>
      </c>
      <c r="D1477" s="14" t="str">
        <f t="array" ref="D1477">_xlfn.SWITCH(E1477,"Bagor","35.18.14","Sukomoro",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7" s="158" t="s">
        <v>102</v>
      </c>
      <c r="F1477" s="111" t="s">
        <v>2670</v>
      </c>
      <c r="G1477" s="157" t="s">
        <v>2682</v>
      </c>
      <c r="H1477" s="159" t="s">
        <v>9</v>
      </c>
      <c r="I1477" s="163" t="s">
        <v>2683</v>
      </c>
      <c r="J1477" s="160">
        <v>1000</v>
      </c>
      <c r="K1477" s="161" t="s">
        <v>2349</v>
      </c>
      <c r="L1477" s="162">
        <v>20000000</v>
      </c>
      <c r="N1477" s="2"/>
      <c r="O1477" s="3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</row>
    <row r="1478" spans="1:67" s="1" customFormat="1" ht="30" x14ac:dyDescent="0.2">
      <c r="A1478" s="14" t="s">
        <v>2986</v>
      </c>
      <c r="B1478" s="14" t="s">
        <v>18</v>
      </c>
      <c r="C1478" s="14">
        <v>2025</v>
      </c>
      <c r="D1478" s="14" t="str">
        <f t="array" ref="D1478">_xlfn.SWITCH(E1478,"Bagor","35.18.14","Sukomoro",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8" s="158" t="s">
        <v>102</v>
      </c>
      <c r="F1478" s="111" t="s">
        <v>2670</v>
      </c>
      <c r="G1478" s="157" t="s">
        <v>2684</v>
      </c>
      <c r="H1478" s="159" t="s">
        <v>9</v>
      </c>
      <c r="I1478" s="104" t="s">
        <v>2685</v>
      </c>
      <c r="J1478" s="160">
        <v>1000</v>
      </c>
      <c r="K1478" s="161" t="s">
        <v>2349</v>
      </c>
      <c r="L1478" s="162">
        <v>2000000</v>
      </c>
      <c r="N1478" s="2"/>
      <c r="O1478" s="3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</row>
    <row r="1479" spans="1:67" s="1" customFormat="1" ht="30" x14ac:dyDescent="0.2">
      <c r="A1479" s="14" t="s">
        <v>2986</v>
      </c>
      <c r="B1479" s="14" t="s">
        <v>18</v>
      </c>
      <c r="C1479" s="14">
        <v>2025</v>
      </c>
      <c r="D1479" s="14" t="str">
        <f t="array" ref="D1479">_xlfn.SWITCH(E1479,"Bagor","35.18.14","Sukomoro",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9" s="158" t="s">
        <v>102</v>
      </c>
      <c r="F1479" s="111" t="s">
        <v>2670</v>
      </c>
      <c r="G1479" s="157" t="s">
        <v>2686</v>
      </c>
      <c r="H1479" s="159" t="s">
        <v>9</v>
      </c>
      <c r="I1479" s="163" t="s">
        <v>2686</v>
      </c>
      <c r="J1479" s="160">
        <v>800</v>
      </c>
      <c r="K1479" s="161" t="s">
        <v>2349</v>
      </c>
      <c r="L1479" s="162">
        <v>1800000</v>
      </c>
      <c r="N1479" s="2"/>
      <c r="O1479" s="3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</row>
    <row r="1480" spans="1:67" s="1" customFormat="1" ht="30" x14ac:dyDescent="0.2">
      <c r="A1480" s="14" t="s">
        <v>2986</v>
      </c>
      <c r="B1480" s="14" t="s">
        <v>18</v>
      </c>
      <c r="C1480" s="14">
        <v>2025</v>
      </c>
      <c r="D1480" s="14" t="str">
        <f t="array" ref="D1480">_xlfn.SWITCH(E1480,"Bagor","35.18.14","Sukomoro",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0" s="158" t="s">
        <v>102</v>
      </c>
      <c r="F1480" s="111" t="s">
        <v>2687</v>
      </c>
      <c r="G1480" s="157" t="s">
        <v>2688</v>
      </c>
      <c r="H1480" s="159" t="s">
        <v>9</v>
      </c>
      <c r="I1480" s="163" t="s">
        <v>2689</v>
      </c>
      <c r="J1480" s="160">
        <v>50</v>
      </c>
      <c r="K1480" s="161" t="s">
        <v>700</v>
      </c>
      <c r="L1480" s="162">
        <v>2000000</v>
      </c>
      <c r="N1480" s="2"/>
      <c r="O1480" s="3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</row>
    <row r="1481" spans="1:67" s="1" customFormat="1" ht="30" x14ac:dyDescent="0.2">
      <c r="A1481" s="14" t="s">
        <v>2986</v>
      </c>
      <c r="B1481" s="14" t="s">
        <v>18</v>
      </c>
      <c r="C1481" s="14">
        <v>2025</v>
      </c>
      <c r="D1481" s="14" t="str">
        <f t="array" ref="D1481">_xlfn.SWITCH(E1481,"Bagor","35.18.14","Sukomoro",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1" s="158" t="s">
        <v>102</v>
      </c>
      <c r="F1481" s="111" t="s">
        <v>2690</v>
      </c>
      <c r="G1481" s="157" t="s">
        <v>2691</v>
      </c>
      <c r="H1481" s="159" t="s">
        <v>9</v>
      </c>
      <c r="I1481" s="104" t="s">
        <v>2692</v>
      </c>
      <c r="J1481" s="160">
        <v>750</v>
      </c>
      <c r="K1481" s="161" t="s">
        <v>2349</v>
      </c>
      <c r="L1481" s="162">
        <v>6000000</v>
      </c>
      <c r="N1481" s="2"/>
      <c r="O1481" s="3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</row>
    <row r="1482" spans="1:67" s="1" customFormat="1" ht="30" x14ac:dyDescent="0.2">
      <c r="A1482" s="14" t="s">
        <v>2986</v>
      </c>
      <c r="B1482" s="14" t="s">
        <v>18</v>
      </c>
      <c r="C1482" s="14">
        <v>2025</v>
      </c>
      <c r="D1482" s="14" t="str">
        <f t="array" ref="D1482">_xlfn.SWITCH(E1482,"Bagor","35.18.14","Sukomoro",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2" s="158" t="s">
        <v>102</v>
      </c>
      <c r="F1482" s="111" t="s">
        <v>2690</v>
      </c>
      <c r="G1482" s="157" t="s">
        <v>2693</v>
      </c>
      <c r="H1482" s="159" t="s">
        <v>9</v>
      </c>
      <c r="I1482" s="104" t="s">
        <v>2694</v>
      </c>
      <c r="J1482" s="160">
        <v>2000</v>
      </c>
      <c r="K1482" s="161" t="s">
        <v>2349</v>
      </c>
      <c r="L1482" s="162">
        <v>30000000</v>
      </c>
      <c r="N1482" s="2"/>
      <c r="O1482" s="3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</row>
    <row r="1483" spans="1:67" s="1" customFormat="1" ht="30" x14ac:dyDescent="0.2">
      <c r="A1483" s="14" t="s">
        <v>2986</v>
      </c>
      <c r="B1483" s="14" t="s">
        <v>18</v>
      </c>
      <c r="C1483" s="14">
        <v>2025</v>
      </c>
      <c r="D1483" s="14" t="str">
        <f t="array" ref="D1483">_xlfn.SWITCH(E1483,"Bagor","35.18.14","Sukomoro",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3" s="158" t="s">
        <v>102</v>
      </c>
      <c r="F1483" s="111" t="s">
        <v>2690</v>
      </c>
      <c r="G1483" s="157" t="s">
        <v>2695</v>
      </c>
      <c r="H1483" s="159" t="s">
        <v>9</v>
      </c>
      <c r="I1483" s="104" t="s">
        <v>2696</v>
      </c>
      <c r="J1483" s="160">
        <v>7000</v>
      </c>
      <c r="K1483" s="161" t="s">
        <v>2697</v>
      </c>
      <c r="L1483" s="162">
        <v>45000000</v>
      </c>
      <c r="N1483" s="2"/>
      <c r="O1483" s="3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</row>
    <row r="1484" spans="1:67" s="1" customFormat="1" ht="30" x14ac:dyDescent="0.2">
      <c r="A1484" s="14" t="s">
        <v>2986</v>
      </c>
      <c r="B1484" s="14" t="s">
        <v>18</v>
      </c>
      <c r="C1484" s="14">
        <v>2025</v>
      </c>
      <c r="D1484" s="14" t="str">
        <f t="array" ref="D1484">_xlfn.SWITCH(E1484,"Bagor","35.18.14","Sukomoro",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4" s="158" t="s">
        <v>102</v>
      </c>
      <c r="F1484" s="111" t="s">
        <v>2690</v>
      </c>
      <c r="G1484" s="157" t="s">
        <v>2698</v>
      </c>
      <c r="H1484" s="159" t="s">
        <v>9</v>
      </c>
      <c r="I1484" s="104" t="s">
        <v>2699</v>
      </c>
      <c r="J1484" s="160">
        <v>1500</v>
      </c>
      <c r="K1484" s="161" t="s">
        <v>2697</v>
      </c>
      <c r="L1484" s="162">
        <v>25000000</v>
      </c>
      <c r="N1484" s="2"/>
      <c r="O1484" s="3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</row>
    <row r="1485" spans="1:67" s="1" customFormat="1" ht="30" x14ac:dyDescent="0.2">
      <c r="A1485" s="14" t="s">
        <v>2986</v>
      </c>
      <c r="B1485" s="14" t="s">
        <v>18</v>
      </c>
      <c r="C1485" s="14">
        <v>2025</v>
      </c>
      <c r="D1485" s="14" t="str">
        <f t="array" ref="D1485">_xlfn.SWITCH(E1485,"Bagor","35.18.14","Sukomoro",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5" s="158" t="s">
        <v>102</v>
      </c>
      <c r="F1485" s="111" t="s">
        <v>2700</v>
      </c>
      <c r="G1485" s="157" t="s">
        <v>2701</v>
      </c>
      <c r="H1485" s="159" t="s">
        <v>9</v>
      </c>
      <c r="I1485" s="104" t="s">
        <v>2696</v>
      </c>
      <c r="J1485" s="160">
        <v>500</v>
      </c>
      <c r="K1485" s="161" t="s">
        <v>2697</v>
      </c>
      <c r="L1485" s="162">
        <v>10000000</v>
      </c>
      <c r="N1485" s="2"/>
      <c r="O1485" s="3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</row>
    <row r="1486" spans="1:67" s="1" customFormat="1" ht="30" x14ac:dyDescent="0.2">
      <c r="A1486" s="14" t="s">
        <v>2986</v>
      </c>
      <c r="B1486" s="14" t="s">
        <v>18</v>
      </c>
      <c r="C1486" s="14">
        <v>2025</v>
      </c>
      <c r="D1486" s="14" t="str">
        <f t="array" ref="D1486">_xlfn.SWITCH(E1486,"Bagor","35.18.14","Sukomoro",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6" s="158" t="s">
        <v>102</v>
      </c>
      <c r="F1486" s="111" t="s">
        <v>2687</v>
      </c>
      <c r="G1486" s="157" t="s">
        <v>2702</v>
      </c>
      <c r="H1486" s="159" t="s">
        <v>9</v>
      </c>
      <c r="I1486" s="104" t="s">
        <v>2703</v>
      </c>
      <c r="J1486" s="160">
        <v>1000</v>
      </c>
      <c r="K1486" s="161" t="s">
        <v>2349</v>
      </c>
      <c r="L1486" s="162">
        <v>6000000</v>
      </c>
      <c r="N1486" s="2"/>
      <c r="O1486" s="3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</row>
    <row r="1487" spans="1:67" s="1" customFormat="1" ht="30" x14ac:dyDescent="0.2">
      <c r="A1487" s="14" t="s">
        <v>2986</v>
      </c>
      <c r="B1487" s="14" t="s">
        <v>18</v>
      </c>
      <c r="C1487" s="14">
        <v>2025</v>
      </c>
      <c r="D1487" s="14" t="str">
        <f t="array" ref="D1487">_xlfn.SWITCH(E1487,"Bagor","35.18.14","Sukomoro",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7" s="158" t="s">
        <v>102</v>
      </c>
      <c r="F1487" s="111" t="s">
        <v>2704</v>
      </c>
      <c r="G1487" s="157" t="s">
        <v>2705</v>
      </c>
      <c r="H1487" s="159" t="s">
        <v>9</v>
      </c>
      <c r="I1487" s="104" t="s">
        <v>2706</v>
      </c>
      <c r="J1487" s="160">
        <v>35</v>
      </c>
      <c r="K1487" s="161" t="s">
        <v>700</v>
      </c>
      <c r="L1487" s="162">
        <v>1000000</v>
      </c>
      <c r="N1487" s="2"/>
      <c r="O1487" s="3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</row>
    <row r="1488" spans="1:67" s="1" customFormat="1" ht="30" x14ac:dyDescent="0.2">
      <c r="A1488" s="14" t="s">
        <v>2986</v>
      </c>
      <c r="B1488" s="14" t="s">
        <v>18</v>
      </c>
      <c r="C1488" s="14">
        <v>2025</v>
      </c>
      <c r="D1488" s="14" t="str">
        <f t="array" ref="D1488">_xlfn.SWITCH(E1488,"Bagor","35.18.14","Sukomoro",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8" s="158" t="s">
        <v>102</v>
      </c>
      <c r="F1488" s="111" t="s">
        <v>2687</v>
      </c>
      <c r="G1488" s="157" t="s">
        <v>2707</v>
      </c>
      <c r="H1488" s="159" t="s">
        <v>9</v>
      </c>
      <c r="I1488" s="104" t="s">
        <v>2708</v>
      </c>
      <c r="J1488" s="160">
        <v>35</v>
      </c>
      <c r="K1488" s="161" t="s">
        <v>700</v>
      </c>
      <c r="L1488" s="162">
        <v>1000000</v>
      </c>
      <c r="N1488" s="2"/>
      <c r="O1488" s="3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</row>
    <row r="1489" spans="1:67" s="1" customFormat="1" ht="30" x14ac:dyDescent="0.2">
      <c r="A1489" s="14" t="s">
        <v>2986</v>
      </c>
      <c r="B1489" s="14" t="s">
        <v>18</v>
      </c>
      <c r="C1489" s="14">
        <v>2025</v>
      </c>
      <c r="D1489" s="14" t="str">
        <f t="array" ref="D1489">_xlfn.SWITCH(E1489,"Bagor","35.18.14","Sukomoro",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9" s="158" t="s">
        <v>102</v>
      </c>
      <c r="F1489" s="111" t="s">
        <v>2687</v>
      </c>
      <c r="G1489" s="157" t="s">
        <v>2709</v>
      </c>
      <c r="H1489" s="159" t="s">
        <v>9</v>
      </c>
      <c r="I1489" s="104" t="s">
        <v>2710</v>
      </c>
      <c r="J1489" s="160">
        <v>1000</v>
      </c>
      <c r="K1489" s="161" t="s">
        <v>2349</v>
      </c>
      <c r="L1489" s="162">
        <v>1500000</v>
      </c>
      <c r="N1489" s="2"/>
      <c r="O1489" s="3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</row>
    <row r="1490" spans="1:67" s="1" customFormat="1" ht="30" x14ac:dyDescent="0.2">
      <c r="A1490" s="14" t="s">
        <v>2986</v>
      </c>
      <c r="B1490" s="14" t="s">
        <v>18</v>
      </c>
      <c r="C1490" s="14">
        <v>2025</v>
      </c>
      <c r="D1490" s="14" t="str">
        <f t="array" ref="D1490">_xlfn.SWITCH(E1490,"Bagor","35.18.14","Sukomoro",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0" s="158" t="s">
        <v>102</v>
      </c>
      <c r="F1490" s="111" t="s">
        <v>2711</v>
      </c>
      <c r="G1490" s="157" t="s">
        <v>2712</v>
      </c>
      <c r="H1490" s="159" t="s">
        <v>9</v>
      </c>
      <c r="I1490" s="104" t="s">
        <v>2713</v>
      </c>
      <c r="J1490" s="160">
        <v>750</v>
      </c>
      <c r="K1490" s="161" t="s">
        <v>2697</v>
      </c>
      <c r="L1490" s="162">
        <v>5000000</v>
      </c>
      <c r="N1490" s="2"/>
      <c r="O1490" s="3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</row>
    <row r="1491" spans="1:67" s="1" customFormat="1" ht="30" x14ac:dyDescent="0.2">
      <c r="A1491" s="14" t="s">
        <v>2986</v>
      </c>
      <c r="B1491" s="14" t="s">
        <v>18</v>
      </c>
      <c r="C1491" s="14">
        <v>2025</v>
      </c>
      <c r="D1491" s="14" t="str">
        <f t="array" ref="D1491">_xlfn.SWITCH(E1491,"Bagor","35.18.14","Sukomoro",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1" s="158" t="s">
        <v>102</v>
      </c>
      <c r="F1491" s="111" t="s">
        <v>2711</v>
      </c>
      <c r="G1491" s="157" t="s">
        <v>2714</v>
      </c>
      <c r="H1491" s="159" t="s">
        <v>9</v>
      </c>
      <c r="I1491" s="104" t="s">
        <v>2715</v>
      </c>
      <c r="J1491" s="160">
        <v>3000</v>
      </c>
      <c r="K1491" s="161" t="s">
        <v>2349</v>
      </c>
      <c r="L1491" s="162">
        <v>5000000</v>
      </c>
      <c r="N1491" s="2"/>
      <c r="O1491" s="3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</row>
    <row r="1492" spans="1:67" s="1" customFormat="1" ht="30" x14ac:dyDescent="0.2">
      <c r="A1492" s="14" t="s">
        <v>2986</v>
      </c>
      <c r="B1492" s="14" t="s">
        <v>18</v>
      </c>
      <c r="C1492" s="14">
        <v>2025</v>
      </c>
      <c r="D1492" s="14" t="str">
        <f t="array" ref="D1492">_xlfn.SWITCH(E1492,"Bagor","35.18.14","Sukomoro",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2" s="158" t="s">
        <v>102</v>
      </c>
      <c r="F1492" s="111" t="s">
        <v>2711</v>
      </c>
      <c r="G1492" s="157" t="s">
        <v>2716</v>
      </c>
      <c r="H1492" s="159" t="s">
        <v>9</v>
      </c>
      <c r="I1492" s="104" t="s">
        <v>2657</v>
      </c>
      <c r="J1492" s="160">
        <v>300</v>
      </c>
      <c r="K1492" s="161" t="s">
        <v>2349</v>
      </c>
      <c r="L1492" s="162">
        <v>2500000</v>
      </c>
      <c r="N1492" s="2"/>
      <c r="O1492" s="3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</row>
    <row r="1493" spans="1:67" s="1" customFormat="1" ht="30" x14ac:dyDescent="0.2">
      <c r="A1493" s="14" t="s">
        <v>2986</v>
      </c>
      <c r="B1493" s="14" t="s">
        <v>18</v>
      </c>
      <c r="C1493" s="14">
        <v>2025</v>
      </c>
      <c r="D1493" s="14" t="str">
        <f t="array" ref="D1493">_xlfn.SWITCH(E1493,"Bagor","35.18.14","Sukomoro",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3" s="158" t="s">
        <v>102</v>
      </c>
      <c r="F1493" s="111" t="s">
        <v>2717</v>
      </c>
      <c r="G1493" s="157" t="s">
        <v>2718</v>
      </c>
      <c r="H1493" s="159" t="s">
        <v>9</v>
      </c>
      <c r="I1493" s="104" t="s">
        <v>2719</v>
      </c>
      <c r="J1493" s="160">
        <v>1000</v>
      </c>
      <c r="K1493" s="161" t="s">
        <v>2349</v>
      </c>
      <c r="L1493" s="162">
        <v>2500000</v>
      </c>
      <c r="N1493" s="2"/>
      <c r="O1493" s="3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</row>
    <row r="1494" spans="1:67" s="1" customFormat="1" ht="20" x14ac:dyDescent="0.2">
      <c r="A1494" s="14" t="s">
        <v>2986</v>
      </c>
      <c r="B1494" s="14" t="s">
        <v>18</v>
      </c>
      <c r="C1494" s="14">
        <v>2025</v>
      </c>
      <c r="D1494" s="14" t="str">
        <f t="array" ref="D1494">_xlfn.SWITCH(E1494,"Bagor","35.18.14","Sukomoro",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4" s="158" t="s">
        <v>102</v>
      </c>
      <c r="F1494" s="111" t="s">
        <v>2720</v>
      </c>
      <c r="G1494" s="157" t="s">
        <v>2721</v>
      </c>
      <c r="H1494" s="159" t="s">
        <v>9</v>
      </c>
      <c r="I1494" s="104" t="s">
        <v>2722</v>
      </c>
      <c r="J1494" s="160">
        <v>750</v>
      </c>
      <c r="K1494" s="161" t="s">
        <v>2349</v>
      </c>
      <c r="L1494" s="162">
        <v>2000000</v>
      </c>
      <c r="N1494" s="2"/>
      <c r="O1494" s="3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</row>
    <row r="1495" spans="1:67" s="1" customFormat="1" ht="30" x14ac:dyDescent="0.2">
      <c r="A1495" s="14" t="s">
        <v>2986</v>
      </c>
      <c r="B1495" s="14" t="s">
        <v>18</v>
      </c>
      <c r="C1495" s="14">
        <v>2025</v>
      </c>
      <c r="D1495" s="14" t="str">
        <f t="array" ref="D1495">_xlfn.SWITCH(E1495,"Bagor","35.18.14","Sukomoro",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5" s="158" t="s">
        <v>102</v>
      </c>
      <c r="F1495" s="111" t="s">
        <v>2717</v>
      </c>
      <c r="G1495" s="157" t="s">
        <v>2723</v>
      </c>
      <c r="H1495" s="159" t="s">
        <v>9</v>
      </c>
      <c r="I1495" s="104" t="s">
        <v>2724</v>
      </c>
      <c r="J1495" s="160">
        <v>1000</v>
      </c>
      <c r="K1495" s="161" t="s">
        <v>2349</v>
      </c>
      <c r="L1495" s="162">
        <v>25000000</v>
      </c>
      <c r="N1495" s="2"/>
      <c r="O1495" s="3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</row>
    <row r="1496" spans="1:67" s="1" customFormat="1" ht="20" x14ac:dyDescent="0.2">
      <c r="A1496" s="14" t="s">
        <v>2986</v>
      </c>
      <c r="B1496" s="14" t="s">
        <v>18</v>
      </c>
      <c r="C1496" s="14">
        <v>2025</v>
      </c>
      <c r="D1496" s="14" t="str">
        <f t="array" ref="D1496">_xlfn.SWITCH(E1496,"Bagor","35.18.14","Sukomoro",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6" s="158" t="s">
        <v>102</v>
      </c>
      <c r="F1496" s="111" t="s">
        <v>2725</v>
      </c>
      <c r="G1496" s="157" t="s">
        <v>2726</v>
      </c>
      <c r="H1496" s="159" t="s">
        <v>9</v>
      </c>
      <c r="I1496" s="104" t="s">
        <v>2686</v>
      </c>
      <c r="J1496" s="160">
        <v>1000</v>
      </c>
      <c r="K1496" s="161" t="s">
        <v>2349</v>
      </c>
      <c r="L1496" s="162">
        <v>10000000</v>
      </c>
      <c r="N1496" s="2"/>
      <c r="O1496" s="3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</row>
    <row r="1497" spans="1:67" s="1" customFormat="1" ht="20" x14ac:dyDescent="0.2">
      <c r="A1497" s="14" t="s">
        <v>2986</v>
      </c>
      <c r="B1497" s="14" t="s">
        <v>18</v>
      </c>
      <c r="C1497" s="14">
        <v>2025</v>
      </c>
      <c r="D1497" s="14" t="str">
        <f t="array" ref="D1497">_xlfn.SWITCH(E1497,"Bagor","35.18.14","Sukomoro",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7" s="158" t="s">
        <v>102</v>
      </c>
      <c r="F1497" s="111" t="s">
        <v>2725</v>
      </c>
      <c r="G1497" s="157" t="s">
        <v>2727</v>
      </c>
      <c r="H1497" s="159" t="s">
        <v>9</v>
      </c>
      <c r="I1497" s="104" t="s">
        <v>2728</v>
      </c>
      <c r="J1497" s="160">
        <v>3000</v>
      </c>
      <c r="K1497" s="161" t="s">
        <v>2349</v>
      </c>
      <c r="L1497" s="162">
        <v>23000000</v>
      </c>
      <c r="N1497" s="2"/>
      <c r="O1497" s="3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</row>
    <row r="1498" spans="1:67" s="1" customFormat="1" ht="20" x14ac:dyDescent="0.2">
      <c r="A1498" s="14" t="s">
        <v>2986</v>
      </c>
      <c r="B1498" s="14" t="s">
        <v>18</v>
      </c>
      <c r="C1498" s="14">
        <v>2025</v>
      </c>
      <c r="D1498" s="14" t="str">
        <f t="array" ref="D1498">_xlfn.SWITCH(E1498,"Bagor","35.18.14","Sukomoro",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8" s="158" t="s">
        <v>102</v>
      </c>
      <c r="F1498" s="111" t="s">
        <v>2725</v>
      </c>
      <c r="G1498" s="157" t="s">
        <v>2729</v>
      </c>
      <c r="H1498" s="159" t="s">
        <v>9</v>
      </c>
      <c r="I1498" s="104" t="s">
        <v>2664</v>
      </c>
      <c r="J1498" s="160">
        <v>500</v>
      </c>
      <c r="K1498" s="161" t="s">
        <v>2349</v>
      </c>
      <c r="L1498" s="162">
        <v>1500000</v>
      </c>
      <c r="N1498" s="2"/>
      <c r="O1498" s="3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</row>
    <row r="1499" spans="1:67" s="1" customFormat="1" ht="20" x14ac:dyDescent="0.2">
      <c r="A1499" s="14" t="s">
        <v>2986</v>
      </c>
      <c r="B1499" s="14" t="s">
        <v>18</v>
      </c>
      <c r="C1499" s="14">
        <v>2025</v>
      </c>
      <c r="D1499" s="14" t="str">
        <f t="array" ref="D1499">_xlfn.SWITCH(E1499,"Bagor","35.18.14","Sukomoro",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9" s="158" t="s">
        <v>102</v>
      </c>
      <c r="F1499" s="111" t="s">
        <v>2725</v>
      </c>
      <c r="G1499" s="157" t="s">
        <v>2730</v>
      </c>
      <c r="H1499" s="159" t="s">
        <v>9</v>
      </c>
      <c r="I1499" s="104" t="s">
        <v>2664</v>
      </c>
      <c r="J1499" s="160">
        <v>700</v>
      </c>
      <c r="K1499" s="161" t="s">
        <v>2349</v>
      </c>
      <c r="L1499" s="162">
        <v>2500000</v>
      </c>
      <c r="N1499" s="2"/>
      <c r="O1499" s="3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</row>
    <row r="1500" spans="1:67" s="1" customFormat="1" ht="20" x14ac:dyDescent="0.2">
      <c r="A1500" s="14" t="s">
        <v>2986</v>
      </c>
      <c r="B1500" s="14" t="s">
        <v>18</v>
      </c>
      <c r="C1500" s="14">
        <v>2025</v>
      </c>
      <c r="D1500" s="14" t="str">
        <f t="array" ref="D1500">_xlfn.SWITCH(E1500,"Bagor","35.18.14","Sukomoro",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0" s="158" t="s">
        <v>102</v>
      </c>
      <c r="F1500" s="111" t="s">
        <v>2731</v>
      </c>
      <c r="G1500" s="157" t="s">
        <v>2732</v>
      </c>
      <c r="H1500" s="159" t="s">
        <v>2251</v>
      </c>
      <c r="I1500" s="104" t="s">
        <v>2733</v>
      </c>
      <c r="J1500" s="160">
        <v>1600</v>
      </c>
      <c r="K1500" s="161" t="s">
        <v>700</v>
      </c>
      <c r="L1500" s="162">
        <v>25000000</v>
      </c>
      <c r="N1500" s="2"/>
      <c r="O1500" s="3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</row>
    <row r="1501" spans="1:67" s="1" customFormat="1" ht="20" x14ac:dyDescent="0.2">
      <c r="A1501" s="14" t="s">
        <v>2986</v>
      </c>
      <c r="B1501" s="14" t="s">
        <v>18</v>
      </c>
      <c r="C1501" s="14">
        <v>2025</v>
      </c>
      <c r="D1501" s="14" t="str">
        <f t="array" ref="D1501">_xlfn.SWITCH(E1501,"Bagor","35.18.14","Sukomoro",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1" s="158" t="s">
        <v>102</v>
      </c>
      <c r="F1501" s="111" t="s">
        <v>2731</v>
      </c>
      <c r="G1501" s="157" t="s">
        <v>2734</v>
      </c>
      <c r="H1501" s="159" t="s">
        <v>2251</v>
      </c>
      <c r="I1501" s="104" t="s">
        <v>2735</v>
      </c>
      <c r="J1501" s="160" t="s">
        <v>2736</v>
      </c>
      <c r="K1501" s="161" t="s">
        <v>2737</v>
      </c>
      <c r="L1501" s="162">
        <v>4000000</v>
      </c>
      <c r="N1501" s="2"/>
      <c r="O1501" s="3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</row>
    <row r="1502" spans="1:67" s="1" customFormat="1" ht="30" x14ac:dyDescent="0.2">
      <c r="A1502" s="14" t="s">
        <v>2986</v>
      </c>
      <c r="B1502" s="14" t="s">
        <v>18</v>
      </c>
      <c r="C1502" s="14">
        <v>2025</v>
      </c>
      <c r="D1502" s="14" t="str">
        <f t="array" ref="D1502">_xlfn.SWITCH(E1502,"Bagor","35.18.14","Sukomoro",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2" s="158" t="s">
        <v>102</v>
      </c>
      <c r="F1502" s="111" t="s">
        <v>2738</v>
      </c>
      <c r="G1502" s="157" t="s">
        <v>2739</v>
      </c>
      <c r="H1502" s="159" t="s">
        <v>2251</v>
      </c>
      <c r="I1502" s="104" t="s">
        <v>2740</v>
      </c>
      <c r="J1502" s="160">
        <v>100</v>
      </c>
      <c r="K1502" s="161" t="s">
        <v>2349</v>
      </c>
      <c r="L1502" s="162">
        <v>2500000</v>
      </c>
      <c r="N1502" s="2"/>
      <c r="O1502" s="3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</row>
    <row r="1503" spans="1:67" s="1" customFormat="1" ht="30" x14ac:dyDescent="0.2">
      <c r="A1503" s="14" t="s">
        <v>2986</v>
      </c>
      <c r="B1503" s="14" t="s">
        <v>18</v>
      </c>
      <c r="C1503" s="14">
        <v>2025</v>
      </c>
      <c r="D1503" s="14" t="str">
        <f t="array" ref="D1503">_xlfn.SWITCH(E1503,"Bagor","35.18.14","Sukomoro",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3" s="158" t="s">
        <v>102</v>
      </c>
      <c r="F1503" s="111" t="s">
        <v>2738</v>
      </c>
      <c r="G1503" s="157" t="s">
        <v>2741</v>
      </c>
      <c r="H1503" s="159" t="s">
        <v>2251</v>
      </c>
      <c r="I1503" s="104" t="s">
        <v>2740</v>
      </c>
      <c r="J1503" s="160">
        <v>100</v>
      </c>
      <c r="K1503" s="161" t="s">
        <v>2349</v>
      </c>
      <c r="L1503" s="162">
        <v>2500000</v>
      </c>
      <c r="N1503" s="2"/>
      <c r="O1503" s="3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</row>
    <row r="1504" spans="1:67" s="1" customFormat="1" ht="30" x14ac:dyDescent="0.2">
      <c r="A1504" s="14" t="s">
        <v>2986</v>
      </c>
      <c r="B1504" s="14" t="s">
        <v>18</v>
      </c>
      <c r="C1504" s="14">
        <v>2025</v>
      </c>
      <c r="D1504" s="14" t="str">
        <f t="array" ref="D1504">_xlfn.SWITCH(E1504,"Bagor","35.18.14","Sukomoro",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4" s="158" t="s">
        <v>102</v>
      </c>
      <c r="F1504" s="111" t="s">
        <v>2738</v>
      </c>
      <c r="G1504" s="157" t="s">
        <v>2742</v>
      </c>
      <c r="H1504" s="159" t="s">
        <v>2251</v>
      </c>
      <c r="I1504" s="104" t="s">
        <v>2740</v>
      </c>
      <c r="J1504" s="160">
        <v>100</v>
      </c>
      <c r="K1504" s="161" t="s">
        <v>2349</v>
      </c>
      <c r="L1504" s="162">
        <v>2500000</v>
      </c>
      <c r="N1504" s="2"/>
      <c r="O1504" s="3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</row>
    <row r="1505" spans="1:67" s="1" customFormat="1" ht="30" x14ac:dyDescent="0.2">
      <c r="A1505" s="14" t="s">
        <v>2986</v>
      </c>
      <c r="B1505" s="14" t="s">
        <v>18</v>
      </c>
      <c r="C1505" s="14">
        <v>2025</v>
      </c>
      <c r="D1505" s="14" t="str">
        <f t="array" ref="D1505">_xlfn.SWITCH(E1505,"Bagor","35.18.14","Sukomoro",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5" s="158" t="s">
        <v>102</v>
      </c>
      <c r="F1505" s="111" t="s">
        <v>2738</v>
      </c>
      <c r="G1505" s="157" t="s">
        <v>2743</v>
      </c>
      <c r="H1505" s="159" t="s">
        <v>2251</v>
      </c>
      <c r="I1505" s="104" t="s">
        <v>2740</v>
      </c>
      <c r="J1505" s="160">
        <v>100</v>
      </c>
      <c r="K1505" s="161" t="s">
        <v>2349</v>
      </c>
      <c r="L1505" s="162">
        <v>2500000</v>
      </c>
      <c r="N1505" s="2"/>
      <c r="O1505" s="3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</row>
    <row r="1506" spans="1:67" s="1" customFormat="1" ht="20" x14ac:dyDescent="0.2">
      <c r="A1506" s="14" t="s">
        <v>2986</v>
      </c>
      <c r="B1506" s="14" t="s">
        <v>18</v>
      </c>
      <c r="C1506" s="14">
        <v>2025</v>
      </c>
      <c r="D1506" s="14" t="str">
        <f t="array" ref="D1506">_xlfn.SWITCH(E1506,"Bagor","35.18.14","Sukomoro",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6" s="158" t="s">
        <v>102</v>
      </c>
      <c r="F1506" s="111" t="s">
        <v>2744</v>
      </c>
      <c r="G1506" s="157" t="s">
        <v>2745</v>
      </c>
      <c r="H1506" s="159" t="s">
        <v>2251</v>
      </c>
      <c r="I1506" s="104" t="s">
        <v>2740</v>
      </c>
      <c r="J1506" s="160">
        <v>500</v>
      </c>
      <c r="K1506" s="161" t="s">
        <v>953</v>
      </c>
      <c r="L1506" s="162">
        <v>3000000</v>
      </c>
      <c r="N1506" s="2"/>
      <c r="O1506" s="3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</row>
    <row r="1507" spans="1:67" s="1" customFormat="1" ht="20" x14ac:dyDescent="0.2">
      <c r="A1507" s="14" t="s">
        <v>2986</v>
      </c>
      <c r="B1507" s="14" t="s">
        <v>18</v>
      </c>
      <c r="C1507" s="14">
        <v>2025</v>
      </c>
      <c r="D1507" s="14" t="str">
        <f t="array" ref="D1507">_xlfn.SWITCH(E1507,"Bagor","35.18.14","Sukomoro",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7" s="158" t="s">
        <v>102</v>
      </c>
      <c r="F1507" s="111" t="s">
        <v>2746</v>
      </c>
      <c r="G1507" s="157" t="s">
        <v>2747</v>
      </c>
      <c r="H1507" s="159" t="s">
        <v>2251</v>
      </c>
      <c r="I1507" s="104" t="s">
        <v>2715</v>
      </c>
      <c r="J1507" s="160">
        <v>1000</v>
      </c>
      <c r="K1507" s="161" t="s">
        <v>953</v>
      </c>
      <c r="L1507" s="162">
        <v>3000000</v>
      </c>
      <c r="N1507" s="2"/>
      <c r="O1507" s="3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</row>
    <row r="1508" spans="1:67" s="1" customFormat="1" ht="20" x14ac:dyDescent="0.2">
      <c r="A1508" s="14" t="s">
        <v>2986</v>
      </c>
      <c r="B1508" s="14" t="s">
        <v>18</v>
      </c>
      <c r="C1508" s="14">
        <v>2025</v>
      </c>
      <c r="D1508" s="14" t="str">
        <f t="array" ref="D1508">_xlfn.SWITCH(E1508,"Bagor","35.18.14","Sukomoro",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8" s="158" t="s">
        <v>102</v>
      </c>
      <c r="F1508" s="111" t="s">
        <v>2746</v>
      </c>
      <c r="G1508" s="157" t="s">
        <v>2748</v>
      </c>
      <c r="H1508" s="159" t="s">
        <v>2251</v>
      </c>
      <c r="I1508" s="104" t="s">
        <v>2715</v>
      </c>
      <c r="J1508" s="160">
        <v>2000</v>
      </c>
      <c r="K1508" s="161" t="s">
        <v>953</v>
      </c>
      <c r="L1508" s="162">
        <v>3000000</v>
      </c>
      <c r="N1508" s="2"/>
      <c r="O1508" s="3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</row>
    <row r="1509" spans="1:67" s="1" customFormat="1" ht="20" x14ac:dyDescent="0.2">
      <c r="A1509" s="14" t="s">
        <v>2986</v>
      </c>
      <c r="B1509" s="14" t="s">
        <v>18</v>
      </c>
      <c r="C1509" s="14">
        <v>2025</v>
      </c>
      <c r="D1509" s="14" t="str">
        <f t="array" ref="D1509">_xlfn.SWITCH(E1509,"Bagor","35.18.14","Sukomoro",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9" s="158" t="s">
        <v>102</v>
      </c>
      <c r="F1509" s="111" t="s">
        <v>2749</v>
      </c>
      <c r="G1509" s="157" t="s">
        <v>2750</v>
      </c>
      <c r="H1509" s="159" t="s">
        <v>2251</v>
      </c>
      <c r="I1509" s="104" t="s">
        <v>2715</v>
      </c>
      <c r="J1509" s="160">
        <v>2000</v>
      </c>
      <c r="K1509" s="161" t="s">
        <v>2697</v>
      </c>
      <c r="L1509" s="162">
        <v>4000000</v>
      </c>
      <c r="N1509" s="2"/>
      <c r="O1509" s="3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</row>
    <row r="1510" spans="1:67" s="1" customFormat="1" ht="30" x14ac:dyDescent="0.2">
      <c r="A1510" s="14" t="s">
        <v>2986</v>
      </c>
      <c r="B1510" s="14" t="s">
        <v>18</v>
      </c>
      <c r="C1510" s="14">
        <v>2025</v>
      </c>
      <c r="D1510" s="14" t="str">
        <f t="array" ref="D1510">_xlfn.SWITCH(E1510,"Bagor","35.18.14","Sukomoro",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0" s="158" t="s">
        <v>102</v>
      </c>
      <c r="F1510" s="111" t="s">
        <v>2751</v>
      </c>
      <c r="G1510" s="157" t="s">
        <v>2752</v>
      </c>
      <c r="H1510" s="159" t="s">
        <v>2251</v>
      </c>
      <c r="I1510" s="104" t="s">
        <v>2753</v>
      </c>
      <c r="J1510" s="160">
        <v>500</v>
      </c>
      <c r="K1510" s="161" t="s">
        <v>2349</v>
      </c>
      <c r="L1510" s="162">
        <v>2500000</v>
      </c>
      <c r="N1510" s="2"/>
      <c r="O1510" s="3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</row>
    <row r="1511" spans="1:67" s="1" customFormat="1" ht="20" x14ac:dyDescent="0.2">
      <c r="A1511" s="14" t="s">
        <v>2986</v>
      </c>
      <c r="B1511" s="14" t="s">
        <v>18</v>
      </c>
      <c r="C1511" s="14">
        <v>2025</v>
      </c>
      <c r="D1511" s="14" t="str">
        <f t="array" ref="D1511">_xlfn.SWITCH(E1511,"Bagor","35.18.14","Sukomoro",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1" s="158" t="s">
        <v>102</v>
      </c>
      <c r="F1511" s="111" t="s">
        <v>2749</v>
      </c>
      <c r="G1511" s="157" t="s">
        <v>2754</v>
      </c>
      <c r="H1511" s="159" t="s">
        <v>2251</v>
      </c>
      <c r="I1511" s="104" t="s">
        <v>2755</v>
      </c>
      <c r="J1511" s="160">
        <v>25</v>
      </c>
      <c r="K1511" s="161" t="s">
        <v>700</v>
      </c>
      <c r="L1511" s="162">
        <v>1500000</v>
      </c>
      <c r="N1511" s="2"/>
      <c r="O1511" s="3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</row>
    <row r="1512" spans="1:67" s="1" customFormat="1" ht="20" x14ac:dyDescent="0.2">
      <c r="A1512" s="14" t="s">
        <v>2986</v>
      </c>
      <c r="B1512" s="14" t="s">
        <v>18</v>
      </c>
      <c r="C1512" s="14">
        <v>2025</v>
      </c>
      <c r="D1512" s="14" t="str">
        <f t="array" ref="D1512">_xlfn.SWITCH(E1512,"Bagor","35.18.14","Sukomoro",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2" s="158" t="s">
        <v>102</v>
      </c>
      <c r="F1512" s="111" t="s">
        <v>2749</v>
      </c>
      <c r="G1512" s="157" t="s">
        <v>2756</v>
      </c>
      <c r="H1512" s="159" t="s">
        <v>2251</v>
      </c>
      <c r="I1512" s="104" t="s">
        <v>2757</v>
      </c>
      <c r="J1512" s="160">
        <v>250</v>
      </c>
      <c r="K1512" s="161" t="s">
        <v>2349</v>
      </c>
      <c r="L1512" s="162">
        <v>2000000</v>
      </c>
      <c r="N1512" s="2"/>
      <c r="O1512" s="3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</row>
    <row r="1513" spans="1:67" s="1" customFormat="1" ht="20" x14ac:dyDescent="0.2">
      <c r="A1513" s="14" t="s">
        <v>2986</v>
      </c>
      <c r="B1513" s="14" t="s">
        <v>18</v>
      </c>
      <c r="C1513" s="14">
        <v>2025</v>
      </c>
      <c r="D1513" s="14" t="str">
        <f t="array" ref="D1513">_xlfn.SWITCH(E1513,"Bagor","35.18.14","Sukomoro",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3" s="158" t="s">
        <v>102</v>
      </c>
      <c r="F1513" s="111" t="s">
        <v>2749</v>
      </c>
      <c r="G1513" s="157" t="s">
        <v>2758</v>
      </c>
      <c r="H1513" s="159" t="s">
        <v>2251</v>
      </c>
      <c r="I1513" s="104" t="s">
        <v>2715</v>
      </c>
      <c r="J1513" s="160">
        <v>500</v>
      </c>
      <c r="K1513" s="161" t="s">
        <v>2349</v>
      </c>
      <c r="L1513" s="162">
        <v>1500000</v>
      </c>
      <c r="N1513" s="2"/>
      <c r="O1513" s="3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</row>
    <row r="1514" spans="1:67" s="1" customFormat="1" ht="20" x14ac:dyDescent="0.2">
      <c r="A1514" s="14" t="s">
        <v>2986</v>
      </c>
      <c r="B1514" s="14" t="s">
        <v>18</v>
      </c>
      <c r="C1514" s="14">
        <v>2025</v>
      </c>
      <c r="D1514" s="14" t="str">
        <f t="array" ref="D1514">_xlfn.SWITCH(E1514,"Bagor","35.18.14","Sukomoro",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4" s="158" t="s">
        <v>102</v>
      </c>
      <c r="F1514" s="111" t="s">
        <v>2749</v>
      </c>
      <c r="G1514" s="157" t="s">
        <v>2759</v>
      </c>
      <c r="H1514" s="159" t="s">
        <v>2251</v>
      </c>
      <c r="I1514" s="104" t="s">
        <v>2760</v>
      </c>
      <c r="J1514" s="160">
        <v>500</v>
      </c>
      <c r="K1514" s="161" t="s">
        <v>2349</v>
      </c>
      <c r="L1514" s="162">
        <v>1000000</v>
      </c>
      <c r="N1514" s="2"/>
      <c r="O1514" s="3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</row>
    <row r="1515" spans="1:67" s="1" customFormat="1" ht="20" x14ac:dyDescent="0.2">
      <c r="A1515" s="14" t="s">
        <v>2986</v>
      </c>
      <c r="B1515" s="14" t="s">
        <v>18</v>
      </c>
      <c r="C1515" s="14">
        <v>2025</v>
      </c>
      <c r="D1515" s="14" t="str">
        <f t="array" ref="D1515">_xlfn.SWITCH(E1515,"Bagor","35.18.14","Sukomoro",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5" s="158" t="s">
        <v>102</v>
      </c>
      <c r="F1515" s="111" t="s">
        <v>2761</v>
      </c>
      <c r="G1515" s="157" t="s">
        <v>2762</v>
      </c>
      <c r="H1515" s="159" t="s">
        <v>2251</v>
      </c>
      <c r="I1515" s="104" t="s">
        <v>2763</v>
      </c>
      <c r="J1515" s="160">
        <v>200</v>
      </c>
      <c r="K1515" s="161" t="s">
        <v>2349</v>
      </c>
      <c r="L1515" s="162">
        <v>1000000</v>
      </c>
      <c r="N1515" s="2"/>
      <c r="O1515" s="3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</row>
    <row r="1516" spans="1:67" s="1" customFormat="1" ht="30" x14ac:dyDescent="0.2">
      <c r="A1516" s="14" t="s">
        <v>2986</v>
      </c>
      <c r="B1516" s="14" t="s">
        <v>18</v>
      </c>
      <c r="C1516" s="14">
        <v>2025</v>
      </c>
      <c r="D1516" s="14" t="str">
        <f t="array" ref="D1516">_xlfn.SWITCH(E1516,"Bagor","35.18.14","Sukomoro",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6" s="158" t="s">
        <v>102</v>
      </c>
      <c r="F1516" s="111" t="s">
        <v>2764</v>
      </c>
      <c r="G1516" s="157" t="s">
        <v>2765</v>
      </c>
      <c r="H1516" s="159" t="s">
        <v>2251</v>
      </c>
      <c r="I1516" s="104" t="s">
        <v>2715</v>
      </c>
      <c r="J1516" s="160">
        <v>10000</v>
      </c>
      <c r="K1516" s="161" t="s">
        <v>2349</v>
      </c>
      <c r="L1516" s="162">
        <v>4000000</v>
      </c>
      <c r="N1516" s="2"/>
      <c r="O1516" s="3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</row>
    <row r="1517" spans="1:67" s="1" customFormat="1" ht="30" x14ac:dyDescent="0.2">
      <c r="A1517" s="14" t="s">
        <v>2986</v>
      </c>
      <c r="B1517" s="14" t="s">
        <v>18</v>
      </c>
      <c r="C1517" s="14">
        <v>2025</v>
      </c>
      <c r="D1517" s="14" t="str">
        <f t="array" ref="D1517">_xlfn.SWITCH(E1517,"Bagor","35.18.14","Sukomoro",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7" s="158" t="s">
        <v>102</v>
      </c>
      <c r="F1517" s="111" t="s">
        <v>2766</v>
      </c>
      <c r="G1517" s="157" t="s">
        <v>2767</v>
      </c>
      <c r="H1517" s="159" t="s">
        <v>2251</v>
      </c>
      <c r="I1517" s="104" t="s">
        <v>2768</v>
      </c>
      <c r="J1517" s="160">
        <v>1500</v>
      </c>
      <c r="K1517" s="161" t="s">
        <v>2349</v>
      </c>
      <c r="L1517" s="162">
        <v>10000000</v>
      </c>
      <c r="N1517" s="2"/>
      <c r="O1517" s="3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</row>
    <row r="1518" spans="1:67" s="1" customFormat="1" ht="30" x14ac:dyDescent="0.2">
      <c r="A1518" s="14" t="s">
        <v>2986</v>
      </c>
      <c r="B1518" s="14" t="s">
        <v>18</v>
      </c>
      <c r="C1518" s="14">
        <v>2025</v>
      </c>
      <c r="D1518" s="14" t="str">
        <f t="array" ref="D1518">_xlfn.SWITCH(E1518,"Bagor","35.18.14","Sukomoro",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8" s="158" t="s">
        <v>102</v>
      </c>
      <c r="F1518" s="111" t="s">
        <v>2766</v>
      </c>
      <c r="G1518" s="157" t="s">
        <v>2769</v>
      </c>
      <c r="H1518" s="159" t="s">
        <v>2251</v>
      </c>
      <c r="I1518" s="104" t="s">
        <v>2664</v>
      </c>
      <c r="J1518" s="160">
        <v>100</v>
      </c>
      <c r="K1518" s="161" t="s">
        <v>700</v>
      </c>
      <c r="L1518" s="162">
        <v>100000</v>
      </c>
      <c r="N1518" s="2"/>
      <c r="O1518" s="3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</row>
    <row r="1519" spans="1:67" s="1" customFormat="1" ht="20" x14ac:dyDescent="0.2">
      <c r="A1519" s="14" t="s">
        <v>2986</v>
      </c>
      <c r="B1519" s="14" t="s">
        <v>18</v>
      </c>
      <c r="C1519" s="14">
        <v>2025</v>
      </c>
      <c r="D1519" s="14" t="str">
        <f t="array" ref="D1519">_xlfn.SWITCH(E1519,"Bagor","35.18.14","Sukomoro",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9" s="158" t="s">
        <v>102</v>
      </c>
      <c r="F1519" s="111" t="s">
        <v>2770</v>
      </c>
      <c r="G1519" s="157" t="s">
        <v>2771</v>
      </c>
      <c r="H1519" s="159" t="s">
        <v>2251</v>
      </c>
      <c r="I1519" s="104" t="s">
        <v>2772</v>
      </c>
      <c r="J1519" s="160">
        <v>5000</v>
      </c>
      <c r="K1519" s="161" t="s">
        <v>700</v>
      </c>
      <c r="L1519" s="162">
        <v>7000000</v>
      </c>
      <c r="N1519" s="2"/>
      <c r="O1519" s="3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</row>
    <row r="1520" spans="1:67" s="1" customFormat="1" x14ac:dyDescent="0.2">
      <c r="A1520" s="14" t="s">
        <v>2986</v>
      </c>
      <c r="B1520" s="14" t="s">
        <v>18</v>
      </c>
      <c r="C1520" s="14">
        <v>2025</v>
      </c>
      <c r="D1520" s="14" t="str">
        <f t="array" ref="D1520">_xlfn.SWITCH(E1520,"Jatikalen","35.18.20","Kertosono", "35.18.08","Lengkong","35.18.19","Loceret","35.18.04","Tanjunganom","35.18.11","Wilangan","35.18.15")</f>
        <v>35.18.20</v>
      </c>
      <c r="E1520" s="8" t="s">
        <v>801</v>
      </c>
      <c r="F1520" s="139" t="s">
        <v>2773</v>
      </c>
      <c r="G1520" s="139" t="s">
        <v>2774</v>
      </c>
      <c r="H1520" s="164" t="s">
        <v>9</v>
      </c>
      <c r="I1520" s="139" t="s">
        <v>1846</v>
      </c>
      <c r="J1520" s="12">
        <v>1200</v>
      </c>
      <c r="K1520" s="8" t="s">
        <v>94</v>
      </c>
      <c r="L1520" s="12">
        <v>1200000</v>
      </c>
      <c r="N1520" s="2"/>
      <c r="O1520" s="3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</row>
    <row r="1521" spans="1:67" s="1" customFormat="1" x14ac:dyDescent="0.2">
      <c r="A1521" s="14" t="s">
        <v>2986</v>
      </c>
      <c r="B1521" s="14" t="s">
        <v>18</v>
      </c>
      <c r="C1521" s="14">
        <v>2025</v>
      </c>
      <c r="D1521" s="14" t="str">
        <f t="array" ref="D1521">_xlfn.SWITCH(E1521,"Jatikalen","35.18.20","Kertosono", "35.18.08","Lengkong","35.18.19","Loceret","35.18.04","Tanjunganom","35.18.11","Wilangan","35.18.15")</f>
        <v>35.18.20</v>
      </c>
      <c r="E1521" s="8" t="s">
        <v>801</v>
      </c>
      <c r="F1521" s="139" t="s">
        <v>2775</v>
      </c>
      <c r="G1521" s="139" t="s">
        <v>2776</v>
      </c>
      <c r="H1521" s="8" t="s">
        <v>2777</v>
      </c>
      <c r="I1521" s="165" t="s">
        <v>1827</v>
      </c>
      <c r="J1521" s="12">
        <v>160</v>
      </c>
      <c r="K1521" s="8" t="s">
        <v>2778</v>
      </c>
      <c r="L1521" s="12">
        <v>1600000</v>
      </c>
      <c r="N1521" s="2"/>
      <c r="O1521" s="3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</row>
    <row r="1522" spans="1:67" s="1" customFormat="1" ht="20" x14ac:dyDescent="0.2">
      <c r="A1522" s="14" t="s">
        <v>2986</v>
      </c>
      <c r="B1522" s="14" t="s">
        <v>18</v>
      </c>
      <c r="C1522" s="14">
        <v>2025</v>
      </c>
      <c r="D1522" s="14" t="str">
        <f t="array" ref="D1522">_xlfn.SWITCH(E1522,"Jatikalen","35.18.20","Kertosono", "35.18.08","Lengkong","35.18.19","Loceret","35.18.04","Tanjunganom","35.18.11","Wilangan","35.18.15")</f>
        <v>35.18.20</v>
      </c>
      <c r="E1522" s="8" t="s">
        <v>801</v>
      </c>
      <c r="F1522" s="139" t="s">
        <v>2779</v>
      </c>
      <c r="G1522" s="139" t="s">
        <v>2780</v>
      </c>
      <c r="H1522" s="8" t="s">
        <v>9</v>
      </c>
      <c r="I1522" s="14" t="s">
        <v>2781</v>
      </c>
      <c r="J1522" s="12">
        <v>184</v>
      </c>
      <c r="K1522" s="8" t="s">
        <v>167</v>
      </c>
      <c r="L1522" s="12">
        <v>1840000</v>
      </c>
      <c r="N1522" s="2"/>
      <c r="O1522" s="3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</row>
    <row r="1523" spans="1:67" s="1" customFormat="1" x14ac:dyDescent="0.2">
      <c r="A1523" s="14" t="s">
        <v>2986</v>
      </c>
      <c r="B1523" s="14" t="s">
        <v>18</v>
      </c>
      <c r="C1523" s="14">
        <v>2025</v>
      </c>
      <c r="D1523" s="14" t="str">
        <f t="array" ref="D1523">_xlfn.SWITCH(E1523,"Jatikalen","35.18.20","Kertosono", "35.18.08","Lengkong","35.18.19","Loceret","35.18.04","Tanjunganom","35.18.11","Wilangan","35.18.15")</f>
        <v>35.18.20</v>
      </c>
      <c r="E1523" s="8" t="s">
        <v>801</v>
      </c>
      <c r="F1523" s="139" t="s">
        <v>2782</v>
      </c>
      <c r="G1523" s="139" t="s">
        <v>2783</v>
      </c>
      <c r="H1523" s="8" t="s">
        <v>9</v>
      </c>
      <c r="I1523" s="139" t="s">
        <v>2784</v>
      </c>
      <c r="J1523" s="12">
        <v>3600</v>
      </c>
      <c r="K1523" s="8" t="s">
        <v>2589</v>
      </c>
      <c r="L1523" s="12">
        <v>3600000</v>
      </c>
      <c r="N1523" s="2"/>
      <c r="O1523" s="3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</row>
    <row r="1524" spans="1:67" x14ac:dyDescent="0.2">
      <c r="A1524" s="14" t="s">
        <v>2986</v>
      </c>
      <c r="B1524" s="14" t="s">
        <v>18</v>
      </c>
      <c r="C1524" s="14">
        <v>2025</v>
      </c>
      <c r="D1524" s="14" t="str">
        <f t="array" ref="D1524">_xlfn.SWITCH(E1524,"Jatikalen","35.18.20","Kertosono", "35.18.08","Lengkong","35.18.19","Loceret","35.18.04","Tanjunganom","35.18.11","Wilangan","35.18.15")</f>
        <v>35.18.20</v>
      </c>
      <c r="E1524" s="8" t="s">
        <v>801</v>
      </c>
      <c r="F1524" s="139" t="s">
        <v>2785</v>
      </c>
      <c r="G1524" s="139" t="s">
        <v>2786</v>
      </c>
      <c r="H1524" s="8" t="s">
        <v>9</v>
      </c>
      <c r="I1524" s="139" t="s">
        <v>823</v>
      </c>
      <c r="J1524" s="12">
        <v>300</v>
      </c>
      <c r="K1524" s="8" t="s">
        <v>217</v>
      </c>
      <c r="L1524" s="12">
        <v>4000000</v>
      </c>
    </row>
    <row r="1525" spans="1:67" x14ac:dyDescent="0.2">
      <c r="A1525" s="14" t="s">
        <v>2986</v>
      </c>
      <c r="B1525" s="14" t="s">
        <v>18</v>
      </c>
      <c r="C1525" s="14">
        <v>2025</v>
      </c>
      <c r="D1525" s="14" t="str">
        <f t="array" ref="D1525">_xlfn.SWITCH(E1525,"Bagor","35.18.14","Sukomoro",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5" s="8" t="s">
        <v>65</v>
      </c>
      <c r="F1525" s="139" t="s">
        <v>65</v>
      </c>
      <c r="G1525" s="139" t="s">
        <v>645</v>
      </c>
      <c r="H1525" s="8" t="s">
        <v>9</v>
      </c>
      <c r="I1525" s="139" t="s">
        <v>109</v>
      </c>
      <c r="J1525" s="12">
        <v>30</v>
      </c>
      <c r="K1525" s="8" t="s">
        <v>730</v>
      </c>
      <c r="L1525" s="12">
        <v>64000000</v>
      </c>
    </row>
    <row r="1526" spans="1:67" x14ac:dyDescent="0.2">
      <c r="A1526" s="14" t="s">
        <v>2986</v>
      </c>
      <c r="B1526" s="14" t="s">
        <v>18</v>
      </c>
      <c r="C1526" s="14">
        <v>2025</v>
      </c>
      <c r="D1526" s="14" t="str">
        <f t="array" ref="D1526">_xlfn.SWITCH(E1526,"Bagor","35.18.14","Sukomoro",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6" s="8" t="s">
        <v>65</v>
      </c>
      <c r="F1526" s="139" t="s">
        <v>2787</v>
      </c>
      <c r="G1526" s="139" t="s">
        <v>646</v>
      </c>
      <c r="H1526" s="8" t="s">
        <v>9</v>
      </c>
      <c r="I1526" s="139" t="s">
        <v>109</v>
      </c>
      <c r="J1526" s="12">
        <v>31</v>
      </c>
      <c r="K1526" s="8" t="s">
        <v>730</v>
      </c>
      <c r="L1526" s="12">
        <v>64500000</v>
      </c>
    </row>
    <row r="1527" spans="1:67" x14ac:dyDescent="0.2">
      <c r="A1527" s="14" t="s">
        <v>2986</v>
      </c>
      <c r="B1527" s="14" t="s">
        <v>18</v>
      </c>
      <c r="C1527" s="14">
        <v>2025</v>
      </c>
      <c r="D1527" s="14" t="str">
        <f t="array" ref="D1527">_xlfn.SWITCH(E1527,"Bagor","35.18.14","Sukomoro",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7" s="8" t="s">
        <v>65</v>
      </c>
      <c r="F1527" s="139" t="s">
        <v>2788</v>
      </c>
      <c r="G1527" s="14" t="s">
        <v>2789</v>
      </c>
      <c r="H1527" s="8" t="s">
        <v>9</v>
      </c>
      <c r="I1527" s="139" t="s">
        <v>109</v>
      </c>
      <c r="J1527" s="12">
        <v>3200</v>
      </c>
      <c r="K1527" s="8" t="s">
        <v>953</v>
      </c>
      <c r="L1527" s="12">
        <v>4700000</v>
      </c>
    </row>
    <row r="1528" spans="1:67" x14ac:dyDescent="0.2">
      <c r="A1528" s="14" t="s">
        <v>2986</v>
      </c>
      <c r="B1528" s="14" t="s">
        <v>18</v>
      </c>
      <c r="C1528" s="14">
        <v>2025</v>
      </c>
      <c r="D1528" s="14" t="str">
        <f t="array" ref="D1528">_xlfn.SWITCH(E1528,"Bagor","35.18.14","Sukomoro",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8" s="8" t="s">
        <v>65</v>
      </c>
      <c r="F1528" s="139" t="s">
        <v>2790</v>
      </c>
      <c r="G1528" s="139" t="s">
        <v>2791</v>
      </c>
      <c r="H1528" s="8" t="s">
        <v>9</v>
      </c>
      <c r="I1528" s="139"/>
      <c r="J1528" s="12"/>
      <c r="K1528" s="8"/>
      <c r="L1528" s="12">
        <v>5000000</v>
      </c>
    </row>
    <row r="1529" spans="1:67" x14ac:dyDescent="0.2">
      <c r="A1529" s="14" t="s">
        <v>2986</v>
      </c>
      <c r="B1529" s="14" t="s">
        <v>18</v>
      </c>
      <c r="C1529" s="14">
        <v>2025</v>
      </c>
      <c r="D1529" s="14" t="str">
        <f t="array" ref="D1529">_xlfn.SWITCH(E1529,"Bagor","35.18.14","Sukomoro",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9" s="8" t="s">
        <v>65</v>
      </c>
      <c r="F1529" s="139" t="s">
        <v>2792</v>
      </c>
      <c r="G1529" s="139" t="s">
        <v>2793</v>
      </c>
      <c r="H1529" s="8" t="s">
        <v>9</v>
      </c>
      <c r="I1529" s="139" t="s">
        <v>1071</v>
      </c>
      <c r="J1529" s="12">
        <v>70</v>
      </c>
      <c r="K1529" s="8" t="s">
        <v>217</v>
      </c>
      <c r="L1529" s="12">
        <v>3000000</v>
      </c>
    </row>
    <row r="1530" spans="1:67" x14ac:dyDescent="0.2">
      <c r="A1530" s="14" t="s">
        <v>2986</v>
      </c>
      <c r="B1530" s="14" t="s">
        <v>18</v>
      </c>
      <c r="C1530" s="14">
        <v>2025</v>
      </c>
      <c r="D1530" s="14" t="str">
        <f t="array" ref="D1530">_xlfn.SWITCH(E1530,"Bagor","35.18.14","Sukomoro",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30" s="8" t="s">
        <v>65</v>
      </c>
      <c r="F1530" s="139" t="s">
        <v>2794</v>
      </c>
      <c r="G1530" s="139" t="s">
        <v>2795</v>
      </c>
      <c r="H1530" s="8" t="s">
        <v>9</v>
      </c>
      <c r="I1530" s="139" t="s">
        <v>1893</v>
      </c>
      <c r="J1530" s="12">
        <v>130</v>
      </c>
      <c r="K1530" s="8" t="s">
        <v>217</v>
      </c>
      <c r="L1530" s="12">
        <v>300000</v>
      </c>
    </row>
    <row r="1531" spans="1:67" s="171" customFormat="1" ht="10.5" x14ac:dyDescent="0.35">
      <c r="A1531" s="14" t="s">
        <v>2986</v>
      </c>
      <c r="B1531" s="14" t="s">
        <v>18</v>
      </c>
      <c r="C1531" s="14">
        <v>2025</v>
      </c>
      <c r="D1531" s="14" t="str">
        <f t="array" ref="D1531">_xlfn.SWITCH(E1531,"Bagor","35.18.14","Sukomoro",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1" s="167" t="s">
        <v>57</v>
      </c>
      <c r="F1531" s="166" t="s">
        <v>409</v>
      </c>
      <c r="G1531" s="95" t="s">
        <v>2796</v>
      </c>
      <c r="H1531" s="167" t="s">
        <v>20</v>
      </c>
      <c r="I1531" s="166" t="s">
        <v>413</v>
      </c>
      <c r="J1531" s="168">
        <v>4500</v>
      </c>
      <c r="K1531" s="169" t="s">
        <v>11</v>
      </c>
      <c r="L1531" s="170">
        <v>135000000</v>
      </c>
      <c r="M1531" s="24"/>
      <c r="N1531" s="24"/>
      <c r="O1531" s="148"/>
    </row>
    <row r="1532" spans="1:67" s="123" customFormat="1" ht="30" x14ac:dyDescent="0.35">
      <c r="A1532" s="14" t="s">
        <v>2986</v>
      </c>
      <c r="B1532" s="14" t="s">
        <v>18</v>
      </c>
      <c r="C1532" s="14">
        <v>2025</v>
      </c>
      <c r="D1532" s="14" t="str">
        <f t="array" ref="D1532">_xlfn.SWITCH(E1532,"Jatikalen","35.18.20","Kertosono", "35.18.08","Lengkong","35.18.19","Loceret","35.18.04","Tanjunganom","35.18.11","Wilangan","35.18.15")</f>
        <v>35.18.20</v>
      </c>
      <c r="E1532" s="8" t="s">
        <v>801</v>
      </c>
      <c r="F1532" s="14" t="s">
        <v>2797</v>
      </c>
      <c r="G1532" s="156" t="s">
        <v>2798</v>
      </c>
      <c r="H1532" s="8" t="s">
        <v>748</v>
      </c>
      <c r="I1532" s="139" t="s">
        <v>2799</v>
      </c>
      <c r="J1532" s="11">
        <v>63156</v>
      </c>
      <c r="K1532" s="8" t="s">
        <v>2800</v>
      </c>
      <c r="L1532" s="172">
        <v>324437400</v>
      </c>
      <c r="M1532" s="24"/>
      <c r="O1532" s="124"/>
    </row>
    <row r="1533" spans="1:67" ht="40" x14ac:dyDescent="0.2">
      <c r="A1533" s="14" t="s">
        <v>2986</v>
      </c>
      <c r="B1533" s="14" t="s">
        <v>18</v>
      </c>
      <c r="C1533" s="14">
        <v>2025</v>
      </c>
      <c r="D1533" s="14" t="str">
        <f t="array" ref="D1533">_xlfn.SWITCH(E1533,"Jatikalen","35.18.20","Kertosono", "35.18.08","Lengkong","35.18.19","Loceret","35.18.04","Tanjunganom","35.18.11","Wilangan","35.18.15")</f>
        <v>35.18.11</v>
      </c>
      <c r="E1533" s="8" t="s">
        <v>27</v>
      </c>
      <c r="F1533" s="14" t="s">
        <v>2801</v>
      </c>
      <c r="G1533" s="156" t="s">
        <v>2802</v>
      </c>
      <c r="H1533" s="8" t="s">
        <v>748</v>
      </c>
      <c r="I1533" s="139" t="s">
        <v>2803</v>
      </c>
      <c r="J1533" s="11">
        <v>5000000</v>
      </c>
      <c r="K1533" s="8" t="s">
        <v>1120</v>
      </c>
      <c r="L1533" s="172">
        <f>J1533*250</f>
        <v>1250000000</v>
      </c>
    </row>
    <row r="1534" spans="1:67" ht="30" x14ac:dyDescent="0.2">
      <c r="A1534" s="14" t="s">
        <v>2986</v>
      </c>
      <c r="B1534" s="14" t="s">
        <v>18</v>
      </c>
      <c r="C1534" s="14">
        <v>2025</v>
      </c>
      <c r="D1534" s="14" t="str">
        <f t="array" ref="D1534">_xlfn.SWITCH(E1534,"Bagor","35.18.14","Sukomoro",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4" s="8" t="s">
        <v>57</v>
      </c>
      <c r="F1534" s="14" t="s">
        <v>2804</v>
      </c>
      <c r="G1534" s="156" t="s">
        <v>2805</v>
      </c>
      <c r="H1534" s="8" t="s">
        <v>748</v>
      </c>
      <c r="I1534" s="14" t="s">
        <v>2806</v>
      </c>
      <c r="J1534" s="11">
        <v>100</v>
      </c>
      <c r="K1534" s="8" t="s">
        <v>45</v>
      </c>
      <c r="L1534" s="172">
        <f>825000*J1534</f>
        <v>82500000</v>
      </c>
    </row>
    <row r="1535" spans="1:67" ht="40" x14ac:dyDescent="0.2">
      <c r="A1535" s="14" t="s">
        <v>2986</v>
      </c>
      <c r="B1535" s="14" t="s">
        <v>18</v>
      </c>
      <c r="C1535" s="14">
        <v>2025</v>
      </c>
      <c r="D1535" s="14" t="str">
        <f t="array" ref="D1535">_xlfn.SWITCH(E1535,"Bagor","35.18.14","Sukomoro",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35" s="158" t="s">
        <v>102</v>
      </c>
      <c r="F1535" s="14" t="s">
        <v>2807</v>
      </c>
      <c r="G1535" s="156" t="s">
        <v>2808</v>
      </c>
      <c r="H1535" s="8" t="s">
        <v>748</v>
      </c>
      <c r="I1535" s="14" t="s">
        <v>2809</v>
      </c>
      <c r="J1535" s="11">
        <v>3000</v>
      </c>
      <c r="K1535" s="8" t="s">
        <v>1938</v>
      </c>
      <c r="L1535" s="172">
        <f>120000*J1535</f>
        <v>360000000</v>
      </c>
    </row>
    <row r="1536" spans="1:67" ht="30" x14ac:dyDescent="0.2">
      <c r="A1536" s="14" t="s">
        <v>2986</v>
      </c>
      <c r="B1536" s="14" t="s">
        <v>18</v>
      </c>
      <c r="C1536" s="14">
        <v>2025</v>
      </c>
      <c r="D1536" s="14" t="str">
        <f t="array" ref="D1536">_xlfn.SWITCH(E1536,"Bagor","35.18.14","Sukomoro",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6" s="8" t="s">
        <v>84</v>
      </c>
      <c r="F1536" s="14" t="s">
        <v>2810</v>
      </c>
      <c r="G1536" s="156" t="s">
        <v>2811</v>
      </c>
      <c r="H1536" s="8" t="s">
        <v>9</v>
      </c>
      <c r="I1536" s="14" t="s">
        <v>993</v>
      </c>
      <c r="J1536" s="11">
        <v>240</v>
      </c>
      <c r="K1536" s="8" t="s">
        <v>1011</v>
      </c>
      <c r="L1536" s="172">
        <f>200000*J1536</f>
        <v>48000000</v>
      </c>
    </row>
    <row r="1537" spans="1:67" ht="40" x14ac:dyDescent="0.2">
      <c r="A1537" s="14" t="s">
        <v>2986</v>
      </c>
      <c r="B1537" s="14" t="s">
        <v>18</v>
      </c>
      <c r="C1537" s="14">
        <v>2025</v>
      </c>
      <c r="D1537" s="14" t="str">
        <f t="array" ref="D1537">_xlfn.SWITCH(E1537,"Jatikalen","35.18.20","Kertosono", "35.18.08","Lengkong","35.18.19","Loceret","35.18.04","Tanjunganom","35.18.11","Wilangan","35.18.15")</f>
        <v>35.18.11</v>
      </c>
      <c r="E1537" s="8" t="s">
        <v>27</v>
      </c>
      <c r="F1537" s="14" t="s">
        <v>2812</v>
      </c>
      <c r="G1537" s="14" t="s">
        <v>2813</v>
      </c>
      <c r="H1537" s="8" t="s">
        <v>748</v>
      </c>
      <c r="I1537" s="14" t="s">
        <v>2814</v>
      </c>
      <c r="J1537" s="11">
        <v>50000</v>
      </c>
      <c r="K1537" s="8" t="s">
        <v>11</v>
      </c>
      <c r="L1537" s="172">
        <f>J1537*27000</f>
        <v>1350000000</v>
      </c>
      <c r="M1537" s="3"/>
      <c r="O1537" s="2"/>
    </row>
    <row r="1538" spans="1:67" ht="20" x14ac:dyDescent="0.2">
      <c r="A1538" s="14" t="s">
        <v>2986</v>
      </c>
      <c r="B1538" s="14" t="s">
        <v>18</v>
      </c>
      <c r="C1538" s="14">
        <v>2025</v>
      </c>
      <c r="D1538" s="14" t="str">
        <f t="array" ref="D1538">_xlfn.SWITCH(E1538,"Bagor","35.18.14","Sukomoro",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8" s="8" t="s">
        <v>84</v>
      </c>
      <c r="F1538" s="14" t="s">
        <v>2815</v>
      </c>
      <c r="G1538" s="14" t="s">
        <v>2816</v>
      </c>
      <c r="H1538" s="8" t="s">
        <v>9</v>
      </c>
      <c r="I1538" s="14" t="s">
        <v>1880</v>
      </c>
      <c r="J1538" s="11">
        <v>170</v>
      </c>
      <c r="K1538" s="8" t="s">
        <v>217</v>
      </c>
      <c r="L1538" s="172">
        <v>11600000</v>
      </c>
      <c r="M1538" s="3"/>
      <c r="O1538" s="2"/>
    </row>
    <row r="1539" spans="1:67" ht="20" x14ac:dyDescent="0.2">
      <c r="A1539" s="14" t="s">
        <v>2986</v>
      </c>
      <c r="B1539" s="14" t="s">
        <v>18</v>
      </c>
      <c r="C1539" s="14">
        <v>2025</v>
      </c>
      <c r="D1539" s="14" t="str">
        <f t="array" ref="D1539">_xlfn.SWITCH(E1539,"Jatikalen","35.18.20","Kertosono", "35.18.08","Lengkong","35.18.19","Loceret","35.18.04","Tanjunganom","35.18.11","Wilangan","35.18.15")</f>
        <v>35.18.15</v>
      </c>
      <c r="E1539" s="8" t="s">
        <v>848</v>
      </c>
      <c r="F1539" s="14" t="s">
        <v>2817</v>
      </c>
      <c r="G1539" s="14" t="s">
        <v>2818</v>
      </c>
      <c r="H1539" s="8" t="s">
        <v>9</v>
      </c>
      <c r="I1539" s="14" t="s">
        <v>2417</v>
      </c>
      <c r="J1539" s="11">
        <v>30</v>
      </c>
      <c r="K1539" s="8" t="s">
        <v>217</v>
      </c>
      <c r="L1539" s="172">
        <v>7500000</v>
      </c>
      <c r="M1539" s="3"/>
      <c r="O1539" s="2"/>
    </row>
    <row r="1540" spans="1:67" ht="20" x14ac:dyDescent="0.2">
      <c r="A1540" s="14" t="s">
        <v>2986</v>
      </c>
      <c r="B1540" s="14" t="s">
        <v>18</v>
      </c>
      <c r="C1540" s="14">
        <v>2025</v>
      </c>
      <c r="D1540" s="14" t="str">
        <f t="array" ref="D1540">_xlfn.SWITCH(E1540,"Bagor","35.18.14","Sukomoro",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0" s="8" t="s">
        <v>18</v>
      </c>
      <c r="F1540" s="14" t="s">
        <v>2819</v>
      </c>
      <c r="G1540" s="14" t="s">
        <v>2820</v>
      </c>
      <c r="H1540" s="8" t="s">
        <v>9</v>
      </c>
      <c r="I1540" s="14" t="s">
        <v>2621</v>
      </c>
      <c r="J1540" s="11">
        <v>150</v>
      </c>
      <c r="K1540" s="8" t="s">
        <v>2821</v>
      </c>
      <c r="L1540" s="172">
        <v>8500000</v>
      </c>
      <c r="M1540" s="3"/>
      <c r="O1540" s="2"/>
    </row>
    <row r="1541" spans="1:67" ht="40" x14ac:dyDescent="0.2">
      <c r="A1541" s="14" t="s">
        <v>2986</v>
      </c>
      <c r="B1541" s="14" t="s">
        <v>18</v>
      </c>
      <c r="C1541" s="14">
        <v>2025</v>
      </c>
      <c r="D1541" s="14" t="str">
        <f t="array" ref="D1541">_xlfn.SWITCH(E1541,"Jatikalen","35.18.20","Kertosono", "35.18.08","Lengkong","35.18.19","Loceret","35.18.04","Tanjunganom","35.18.11","Wilangan","35.18.15")</f>
        <v>35.18.08</v>
      </c>
      <c r="E1541" s="8" t="s">
        <v>75</v>
      </c>
      <c r="F1541" s="14" t="s">
        <v>2822</v>
      </c>
      <c r="G1541" s="14" t="s">
        <v>2823</v>
      </c>
      <c r="H1541" s="8" t="s">
        <v>43</v>
      </c>
      <c r="I1541" s="14" t="s">
        <v>2824</v>
      </c>
      <c r="J1541" s="11">
        <v>1000</v>
      </c>
      <c r="K1541" s="8" t="s">
        <v>1057</v>
      </c>
      <c r="L1541" s="172">
        <v>50000000</v>
      </c>
      <c r="M1541" s="3"/>
      <c r="O1541" s="2"/>
    </row>
    <row r="1542" spans="1:67" ht="30" x14ac:dyDescent="0.2">
      <c r="A1542" s="14" t="s">
        <v>2986</v>
      </c>
      <c r="B1542" s="14" t="s">
        <v>18</v>
      </c>
      <c r="C1542" s="14">
        <v>2025</v>
      </c>
      <c r="D1542" s="14" t="str">
        <f t="array" ref="D1542">_xlfn.SWITCH(E1542,"Jatikalen","35.18.20","Kertosono", "35.18.08","Lengkong","35.18.19","Loceret","35.18.04","Tanjunganom","35.18.11","Wilangan","35.18.15")</f>
        <v>35.18.04</v>
      </c>
      <c r="E1542" s="8" t="s">
        <v>15</v>
      </c>
      <c r="F1542" s="14" t="s">
        <v>2825</v>
      </c>
      <c r="G1542" s="14" t="s">
        <v>2826</v>
      </c>
      <c r="H1542" s="8" t="s">
        <v>9</v>
      </c>
      <c r="I1542" s="14" t="s">
        <v>1288</v>
      </c>
      <c r="J1542" s="11">
        <v>400</v>
      </c>
      <c r="K1542" s="8" t="s">
        <v>2349</v>
      </c>
      <c r="L1542" s="172">
        <v>16000000</v>
      </c>
      <c r="M1542" s="3"/>
      <c r="O1542" s="2"/>
    </row>
    <row r="1543" spans="1:67" ht="20" x14ac:dyDescent="0.2">
      <c r="A1543" s="14" t="s">
        <v>2986</v>
      </c>
      <c r="B1543" s="14" t="s">
        <v>18</v>
      </c>
      <c r="C1543" s="14">
        <v>2025</v>
      </c>
      <c r="D1543" s="14" t="str">
        <f t="array" ref="D1543">_xlfn.SWITCH(E1543,"Bagor","35.18.14","Sukomoro",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3" s="8" t="s">
        <v>18</v>
      </c>
      <c r="F1543" s="14" t="s">
        <v>2827</v>
      </c>
      <c r="G1543" s="14" t="s">
        <v>2828</v>
      </c>
      <c r="H1543" s="8" t="s">
        <v>9</v>
      </c>
      <c r="I1543" s="14" t="s">
        <v>2829</v>
      </c>
      <c r="J1543" s="11">
        <v>250</v>
      </c>
      <c r="K1543" s="8" t="s">
        <v>700</v>
      </c>
      <c r="L1543" s="172">
        <f>18000*J1543</f>
        <v>4500000</v>
      </c>
      <c r="M1543" s="3"/>
      <c r="O1543" s="2"/>
    </row>
    <row r="1544" spans="1:67" s="156" customFormat="1" ht="30" x14ac:dyDescent="0.35">
      <c r="A1544" s="14" t="s">
        <v>2986</v>
      </c>
      <c r="B1544" s="14" t="s">
        <v>18</v>
      </c>
      <c r="C1544" s="14">
        <v>2025</v>
      </c>
      <c r="D1544" s="14" t="str">
        <f t="array" ref="D1544">_xlfn.SWITCH(E1544,"Jatikalen","35.18.20","Kertosono", "35.18.08","Lengkong","35.18.19","Loceret","35.18.04","Tanjunganom","35.18.11","Wilangan","35.18.15")</f>
        <v>35.18.04</v>
      </c>
      <c r="E1544" s="8" t="s">
        <v>15</v>
      </c>
      <c r="F1544" s="14" t="s">
        <v>2830</v>
      </c>
      <c r="G1544" s="14" t="s">
        <v>2831</v>
      </c>
      <c r="H1544" s="8" t="s">
        <v>43</v>
      </c>
      <c r="I1544" s="14" t="s">
        <v>2832</v>
      </c>
      <c r="J1544" s="173">
        <v>2400000</v>
      </c>
      <c r="K1544" s="8" t="s">
        <v>11</v>
      </c>
      <c r="L1544" s="172">
        <v>107200000</v>
      </c>
      <c r="M1544" s="8"/>
      <c r="N1544" s="174"/>
      <c r="O1544" s="124"/>
      <c r="P1544" s="123"/>
      <c r="Q1544" s="123"/>
      <c r="R1544" s="123"/>
      <c r="S1544" s="123"/>
      <c r="T1544" s="123"/>
      <c r="U1544" s="123"/>
      <c r="V1544" s="123"/>
      <c r="W1544" s="123"/>
      <c r="X1544" s="123"/>
      <c r="Y1544" s="123"/>
      <c r="Z1544" s="123"/>
      <c r="AA1544" s="123"/>
      <c r="AB1544" s="123"/>
      <c r="AC1544" s="123"/>
      <c r="AD1544" s="123"/>
      <c r="AE1544" s="123"/>
      <c r="AF1544" s="123"/>
      <c r="AG1544" s="123"/>
      <c r="AH1544" s="123"/>
      <c r="AI1544" s="123"/>
      <c r="AJ1544" s="123"/>
      <c r="AK1544" s="123"/>
      <c r="AL1544" s="123"/>
      <c r="AM1544" s="123"/>
      <c r="AN1544" s="123"/>
      <c r="AO1544" s="123"/>
      <c r="AP1544" s="123"/>
      <c r="AQ1544" s="123"/>
      <c r="AR1544" s="123"/>
      <c r="AS1544" s="123"/>
      <c r="AT1544" s="123"/>
      <c r="AU1544" s="123"/>
      <c r="AV1544" s="123"/>
      <c r="AW1544" s="123"/>
      <c r="AX1544" s="123"/>
      <c r="AY1544" s="123"/>
      <c r="AZ1544" s="123"/>
      <c r="BA1544" s="123"/>
      <c r="BB1544" s="123"/>
      <c r="BC1544" s="123"/>
      <c r="BD1544" s="123"/>
      <c r="BE1544" s="123"/>
      <c r="BF1544" s="123"/>
      <c r="BG1544" s="123"/>
      <c r="BH1544" s="123"/>
      <c r="BI1544" s="123"/>
      <c r="BJ1544" s="123"/>
      <c r="BK1544" s="123"/>
      <c r="BL1544" s="123"/>
      <c r="BM1544" s="123"/>
      <c r="BN1544" s="123"/>
      <c r="BO1544" s="123"/>
    </row>
    <row r="1545" spans="1:67" s="156" customFormat="1" ht="40" x14ac:dyDescent="0.35">
      <c r="A1545" s="14" t="s">
        <v>2986</v>
      </c>
      <c r="B1545" s="14" t="s">
        <v>18</v>
      </c>
      <c r="C1545" s="14">
        <v>2025</v>
      </c>
      <c r="D1545" s="14" t="str">
        <f t="array" ref="D1545">_xlfn.SWITCH(E1545,"Bagor","35.18.14","Sukomoro",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45" s="8" t="s">
        <v>7</v>
      </c>
      <c r="F1545" s="14" t="s">
        <v>2833</v>
      </c>
      <c r="G1545" s="139" t="s">
        <v>2834</v>
      </c>
      <c r="H1545" s="8" t="s">
        <v>2251</v>
      </c>
      <c r="I1545" s="14" t="s">
        <v>2835</v>
      </c>
      <c r="J1545" s="11">
        <v>6000000</v>
      </c>
      <c r="K1545" s="8" t="s">
        <v>11</v>
      </c>
      <c r="L1545" s="172">
        <v>300000000</v>
      </c>
      <c r="M1545" s="8"/>
      <c r="N1545" s="174"/>
      <c r="O1545" s="124"/>
      <c r="P1545" s="123"/>
      <c r="Q1545" s="123"/>
      <c r="R1545" s="123"/>
      <c r="S1545" s="123"/>
      <c r="T1545" s="123"/>
      <c r="U1545" s="123"/>
      <c r="V1545" s="123"/>
      <c r="W1545" s="123"/>
      <c r="X1545" s="123"/>
      <c r="Y1545" s="123"/>
      <c r="Z1545" s="123"/>
      <c r="AA1545" s="123"/>
      <c r="AB1545" s="123"/>
      <c r="AC1545" s="123"/>
      <c r="AD1545" s="123"/>
      <c r="AE1545" s="123"/>
      <c r="AF1545" s="123"/>
      <c r="AG1545" s="123"/>
      <c r="AH1545" s="123"/>
      <c r="AI1545" s="123"/>
      <c r="AJ1545" s="123"/>
      <c r="AK1545" s="123"/>
      <c r="AL1545" s="123"/>
      <c r="AM1545" s="123"/>
      <c r="AN1545" s="123"/>
      <c r="AO1545" s="123"/>
      <c r="AP1545" s="123"/>
      <c r="AQ1545" s="123"/>
      <c r="AR1545" s="123"/>
      <c r="AS1545" s="123"/>
      <c r="AT1545" s="123"/>
      <c r="AU1545" s="123"/>
      <c r="AV1545" s="123"/>
      <c r="AW1545" s="123"/>
      <c r="AX1545" s="123"/>
      <c r="AY1545" s="123"/>
      <c r="AZ1545" s="123"/>
      <c r="BA1545" s="123"/>
      <c r="BB1545" s="123"/>
      <c r="BC1545" s="123"/>
      <c r="BD1545" s="123"/>
      <c r="BE1545" s="123"/>
      <c r="BF1545" s="123"/>
      <c r="BG1545" s="123"/>
      <c r="BH1545" s="123"/>
      <c r="BI1545" s="123"/>
      <c r="BJ1545" s="123"/>
      <c r="BK1545" s="123"/>
      <c r="BL1545" s="123"/>
      <c r="BM1545" s="123"/>
      <c r="BN1545" s="123"/>
      <c r="BO1545" s="123"/>
    </row>
    <row r="1546" spans="1:67" s="156" customFormat="1" ht="40" x14ac:dyDescent="0.35">
      <c r="A1546" s="14" t="s">
        <v>2986</v>
      </c>
      <c r="B1546" s="14" t="s">
        <v>18</v>
      </c>
      <c r="C1546" s="14">
        <v>2025</v>
      </c>
      <c r="D1546" s="14" t="str">
        <f t="array" ref="D1546">_xlfn.SWITCH(E1546,"Bagor","35.18.14","Sukomoro",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46" s="8" t="s">
        <v>65</v>
      </c>
      <c r="F1546" s="14" t="s">
        <v>2836</v>
      </c>
      <c r="G1546" s="14" t="s">
        <v>2837</v>
      </c>
      <c r="H1546" s="8" t="s">
        <v>748</v>
      </c>
      <c r="I1546" s="14" t="s">
        <v>2838</v>
      </c>
      <c r="J1546" s="175">
        <v>10800000</v>
      </c>
      <c r="K1546" s="8" t="s">
        <v>2516</v>
      </c>
      <c r="L1546" s="176">
        <v>135292600209</v>
      </c>
      <c r="M1546" s="8"/>
      <c r="N1546" s="174"/>
      <c r="O1546" s="124"/>
      <c r="P1546" s="123"/>
      <c r="Q1546" s="123"/>
      <c r="R1546" s="123"/>
      <c r="S1546" s="123"/>
      <c r="T1546" s="123"/>
      <c r="U1546" s="123"/>
      <c r="V1546" s="123"/>
      <c r="W1546" s="123"/>
      <c r="X1546" s="123"/>
      <c r="Y1546" s="123"/>
      <c r="Z1546" s="123"/>
      <c r="AA1546" s="123"/>
      <c r="AB1546" s="123"/>
      <c r="AC1546" s="123"/>
      <c r="AD1546" s="123"/>
      <c r="AE1546" s="123"/>
      <c r="AF1546" s="123"/>
      <c r="AG1546" s="123"/>
      <c r="AH1546" s="123"/>
      <c r="AI1546" s="123"/>
      <c r="AJ1546" s="123"/>
      <c r="AK1546" s="123"/>
      <c r="AL1546" s="123"/>
      <c r="AM1546" s="123"/>
      <c r="AN1546" s="123"/>
      <c r="AO1546" s="123"/>
      <c r="AP1546" s="123"/>
      <c r="AQ1546" s="123"/>
      <c r="AR1546" s="123"/>
      <c r="AS1546" s="123"/>
      <c r="AT1546" s="123"/>
      <c r="AU1546" s="123"/>
      <c r="AV1546" s="123"/>
      <c r="AW1546" s="123"/>
      <c r="AX1546" s="123"/>
      <c r="AY1546" s="123"/>
      <c r="AZ1546" s="123"/>
      <c r="BA1546" s="123"/>
      <c r="BB1546" s="123"/>
      <c r="BC1546" s="123"/>
      <c r="BD1546" s="123"/>
      <c r="BE1546" s="123"/>
      <c r="BF1546" s="123"/>
      <c r="BG1546" s="123"/>
      <c r="BH1546" s="123"/>
      <c r="BI1546" s="123"/>
      <c r="BJ1546" s="123"/>
      <c r="BK1546" s="123"/>
      <c r="BL1546" s="123"/>
      <c r="BM1546" s="123"/>
      <c r="BN1546" s="123"/>
      <c r="BO1546" s="123"/>
    </row>
    <row r="1547" spans="1:67" s="156" customFormat="1" ht="30" x14ac:dyDescent="0.35">
      <c r="A1547" s="14" t="s">
        <v>2986</v>
      </c>
      <c r="B1547" s="14" t="s">
        <v>18</v>
      </c>
      <c r="C1547" s="14">
        <v>2025</v>
      </c>
      <c r="D1547" s="14" t="str">
        <f t="array" ref="D1547">_xlfn.SWITCH(E1547,"Bagor","35.18.14","Sukomoro",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47" s="8" t="s">
        <v>91</v>
      </c>
      <c r="F1547" s="14" t="s">
        <v>2839</v>
      </c>
      <c r="G1547" s="14" t="s">
        <v>2840</v>
      </c>
      <c r="H1547" s="8" t="s">
        <v>43</v>
      </c>
      <c r="I1547" s="131" t="s">
        <v>2841</v>
      </c>
      <c r="J1547" s="11">
        <v>15000000</v>
      </c>
      <c r="K1547" s="8" t="s">
        <v>11</v>
      </c>
      <c r="L1547" s="172">
        <v>300000000</v>
      </c>
      <c r="M1547" s="8"/>
      <c r="N1547" s="174"/>
      <c r="O1547" s="124"/>
      <c r="P1547" s="123"/>
      <c r="Q1547" s="123"/>
      <c r="R1547" s="123"/>
      <c r="S1547" s="123"/>
      <c r="T1547" s="123"/>
      <c r="U1547" s="123"/>
      <c r="V1547" s="123"/>
      <c r="W1547" s="123"/>
      <c r="X1547" s="123"/>
      <c r="Y1547" s="123"/>
      <c r="Z1547" s="123"/>
      <c r="AA1547" s="123"/>
      <c r="AB1547" s="123"/>
      <c r="AC1547" s="123"/>
      <c r="AD1547" s="123"/>
      <c r="AE1547" s="123"/>
      <c r="AF1547" s="123"/>
      <c r="AG1547" s="123"/>
      <c r="AH1547" s="123"/>
      <c r="AI1547" s="123"/>
      <c r="AJ1547" s="123"/>
      <c r="AK1547" s="123"/>
      <c r="AL1547" s="123"/>
      <c r="AM1547" s="123"/>
      <c r="AN1547" s="123"/>
      <c r="AO1547" s="123"/>
      <c r="AP1547" s="123"/>
      <c r="AQ1547" s="123"/>
      <c r="AR1547" s="123"/>
      <c r="AS1547" s="123"/>
      <c r="AT1547" s="123"/>
      <c r="AU1547" s="123"/>
      <c r="AV1547" s="123"/>
      <c r="AW1547" s="123"/>
      <c r="AX1547" s="123"/>
      <c r="AY1547" s="123"/>
      <c r="AZ1547" s="123"/>
      <c r="BA1547" s="123"/>
      <c r="BB1547" s="123"/>
      <c r="BC1547" s="123"/>
      <c r="BD1547" s="123"/>
      <c r="BE1547" s="123"/>
      <c r="BF1547" s="123"/>
      <c r="BG1547" s="123"/>
      <c r="BH1547" s="123"/>
      <c r="BI1547" s="123"/>
      <c r="BJ1547" s="123"/>
      <c r="BK1547" s="123"/>
      <c r="BL1547" s="123"/>
      <c r="BM1547" s="123"/>
      <c r="BN1547" s="123"/>
      <c r="BO1547" s="123"/>
    </row>
    <row r="1548" spans="1:67" s="156" customFormat="1" ht="50" x14ac:dyDescent="0.35">
      <c r="A1548" s="14" t="s">
        <v>2986</v>
      </c>
      <c r="B1548" s="14" t="s">
        <v>18</v>
      </c>
      <c r="C1548" s="14">
        <v>2025</v>
      </c>
      <c r="D1548" s="14" t="str">
        <f t="array" ref="D1548">_xlfn.SWITCH(E1548,"Bagor","35.18.14","Sukomoro",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48" s="8" t="s">
        <v>119</v>
      </c>
      <c r="F1548" s="14" t="s">
        <v>2842</v>
      </c>
      <c r="G1548" s="139" t="s">
        <v>2843</v>
      </c>
      <c r="H1548" s="8" t="s">
        <v>748</v>
      </c>
      <c r="I1548" s="139" t="s">
        <v>2844</v>
      </c>
      <c r="J1548" s="12">
        <v>70000000</v>
      </c>
      <c r="K1548" s="8" t="s">
        <v>11</v>
      </c>
      <c r="L1548" s="172">
        <f>J1548*250</f>
        <v>17500000000</v>
      </c>
      <c r="M1548" s="8"/>
      <c r="N1548" s="174"/>
      <c r="O1548" s="124"/>
      <c r="P1548" s="123"/>
      <c r="Q1548" s="123"/>
      <c r="R1548" s="123"/>
      <c r="S1548" s="123"/>
      <c r="T1548" s="123"/>
      <c r="U1548" s="123"/>
      <c r="V1548" s="123"/>
      <c r="W1548" s="123"/>
      <c r="X1548" s="123"/>
      <c r="Y1548" s="123"/>
      <c r="Z1548" s="123"/>
      <c r="AA1548" s="123"/>
      <c r="AB1548" s="123"/>
      <c r="AC1548" s="123"/>
      <c r="AD1548" s="123"/>
      <c r="AE1548" s="123"/>
      <c r="AF1548" s="123"/>
      <c r="AG1548" s="123"/>
      <c r="AH1548" s="123"/>
      <c r="AI1548" s="123"/>
      <c r="AJ1548" s="123"/>
      <c r="AK1548" s="123"/>
      <c r="AL1548" s="123"/>
      <c r="AM1548" s="123"/>
      <c r="AN1548" s="123"/>
      <c r="AO1548" s="123"/>
      <c r="AP1548" s="123"/>
      <c r="AQ1548" s="123"/>
      <c r="AR1548" s="123"/>
      <c r="AS1548" s="123"/>
      <c r="AT1548" s="123"/>
      <c r="AU1548" s="123"/>
      <c r="AV1548" s="123"/>
      <c r="AW1548" s="123"/>
      <c r="AX1548" s="123"/>
      <c r="AY1548" s="123"/>
      <c r="AZ1548" s="123"/>
      <c r="BA1548" s="123"/>
      <c r="BB1548" s="123"/>
      <c r="BC1548" s="123"/>
      <c r="BD1548" s="123"/>
      <c r="BE1548" s="123"/>
      <c r="BF1548" s="123"/>
      <c r="BG1548" s="123"/>
      <c r="BH1548" s="123"/>
      <c r="BI1548" s="123"/>
      <c r="BJ1548" s="123"/>
      <c r="BK1548" s="123"/>
      <c r="BL1548" s="123"/>
      <c r="BM1548" s="123"/>
      <c r="BN1548" s="123"/>
      <c r="BO1548" s="123"/>
    </row>
    <row r="1549" spans="1:67" s="156" customFormat="1" ht="60" x14ac:dyDescent="0.35">
      <c r="A1549" s="14" t="s">
        <v>2986</v>
      </c>
      <c r="B1549" s="14" t="s">
        <v>18</v>
      </c>
      <c r="C1549" s="14">
        <v>2025</v>
      </c>
      <c r="D1549" s="14" t="str">
        <f t="array" ref="D1549">_xlfn.SWITCH(E1549,"Jatikalen","35.18.20","Kertosono", "35.18.08","Lengkong","35.18.19","Loceret","35.18.04","Tanjunganom","35.18.11","Wilangan","35.18.15")</f>
        <v>35.18.20</v>
      </c>
      <c r="E1549" s="8" t="s">
        <v>801</v>
      </c>
      <c r="F1549" s="14" t="s">
        <v>2845</v>
      </c>
      <c r="G1549" s="139" t="s">
        <v>2846</v>
      </c>
      <c r="H1549" s="8" t="s">
        <v>748</v>
      </c>
      <c r="I1549" s="14" t="s">
        <v>2847</v>
      </c>
      <c r="J1549" s="11">
        <v>800000</v>
      </c>
      <c r="K1549" s="8" t="s">
        <v>700</v>
      </c>
      <c r="L1549" s="172">
        <v>25272620000</v>
      </c>
      <c r="M1549" s="8"/>
      <c r="N1549" s="174"/>
      <c r="O1549" s="124"/>
      <c r="P1549" s="123"/>
      <c r="Q1549" s="123"/>
      <c r="R1549" s="123"/>
      <c r="S1549" s="123"/>
      <c r="T1549" s="123"/>
      <c r="U1549" s="123"/>
      <c r="V1549" s="123"/>
      <c r="W1549" s="123"/>
      <c r="X1549" s="123"/>
      <c r="Y1549" s="123"/>
      <c r="Z1549" s="123"/>
      <c r="AA1549" s="123"/>
      <c r="AB1549" s="123"/>
      <c r="AC1549" s="123"/>
      <c r="AD1549" s="123"/>
      <c r="AE1549" s="123"/>
      <c r="AF1549" s="123"/>
      <c r="AG1549" s="123"/>
      <c r="AH1549" s="123"/>
      <c r="AI1549" s="123"/>
      <c r="AJ1549" s="123"/>
      <c r="AK1549" s="123"/>
      <c r="AL1549" s="123"/>
      <c r="AM1549" s="123"/>
      <c r="AN1549" s="123"/>
      <c r="AO1549" s="123"/>
      <c r="AP1549" s="123"/>
      <c r="AQ1549" s="123"/>
      <c r="AR1549" s="123"/>
      <c r="AS1549" s="123"/>
      <c r="AT1549" s="123"/>
      <c r="AU1549" s="123"/>
      <c r="AV1549" s="123"/>
      <c r="AW1549" s="123"/>
      <c r="AX1549" s="123"/>
      <c r="AY1549" s="123"/>
      <c r="AZ1549" s="123"/>
      <c r="BA1549" s="123"/>
      <c r="BB1549" s="123"/>
      <c r="BC1549" s="123"/>
      <c r="BD1549" s="123"/>
      <c r="BE1549" s="123"/>
      <c r="BF1549" s="123"/>
      <c r="BG1549" s="123"/>
      <c r="BH1549" s="123"/>
      <c r="BI1549" s="123"/>
      <c r="BJ1549" s="123"/>
      <c r="BK1549" s="123"/>
      <c r="BL1549" s="123"/>
      <c r="BM1549" s="123"/>
      <c r="BN1549" s="123"/>
      <c r="BO1549" s="123"/>
    </row>
    <row r="1550" spans="1:67" s="156" customFormat="1" ht="40" x14ac:dyDescent="0.35">
      <c r="A1550" s="14" t="s">
        <v>2986</v>
      </c>
      <c r="B1550" s="14" t="s">
        <v>18</v>
      </c>
      <c r="C1550" s="14">
        <v>2025</v>
      </c>
      <c r="D1550" s="14" t="str">
        <f t="array" ref="D1550">_xlfn.SWITCH(E1550,"Bagor","35.18.14","Sukomoro",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0" s="8" t="s">
        <v>57</v>
      </c>
      <c r="F1550" s="14" t="s">
        <v>2848</v>
      </c>
      <c r="G1550" s="14" t="s">
        <v>2849</v>
      </c>
      <c r="H1550" s="8" t="s">
        <v>748</v>
      </c>
      <c r="I1550" s="139"/>
      <c r="J1550" s="11">
        <v>75000</v>
      </c>
      <c r="K1550" s="8" t="s">
        <v>2516</v>
      </c>
      <c r="L1550" s="172">
        <f>J1550*500000</f>
        <v>37500000000</v>
      </c>
      <c r="M1550" s="8"/>
      <c r="N1550" s="174"/>
      <c r="O1550" s="124"/>
      <c r="P1550" s="123"/>
      <c r="Q1550" s="123"/>
      <c r="R1550" s="123"/>
      <c r="S1550" s="123"/>
      <c r="T1550" s="123"/>
      <c r="U1550" s="123"/>
      <c r="V1550" s="123"/>
      <c r="W1550" s="123"/>
      <c r="X1550" s="123"/>
      <c r="Y1550" s="123"/>
      <c r="Z1550" s="123"/>
      <c r="AA1550" s="123"/>
      <c r="AB1550" s="123"/>
      <c r="AC1550" s="123"/>
      <c r="AD1550" s="123"/>
      <c r="AE1550" s="123"/>
      <c r="AF1550" s="123"/>
      <c r="AG1550" s="123"/>
      <c r="AH1550" s="123"/>
      <c r="AI1550" s="123"/>
      <c r="AJ1550" s="123"/>
      <c r="AK1550" s="123"/>
      <c r="AL1550" s="123"/>
      <c r="AM1550" s="123"/>
      <c r="AN1550" s="123"/>
      <c r="AO1550" s="123"/>
      <c r="AP1550" s="123"/>
      <c r="AQ1550" s="123"/>
      <c r="AR1550" s="123"/>
      <c r="AS1550" s="123"/>
      <c r="AT1550" s="123"/>
      <c r="AU1550" s="123"/>
      <c r="AV1550" s="123"/>
      <c r="AW1550" s="123"/>
      <c r="AX1550" s="123"/>
      <c r="AY1550" s="123"/>
      <c r="AZ1550" s="123"/>
      <c r="BA1550" s="123"/>
      <c r="BB1550" s="123"/>
      <c r="BC1550" s="123"/>
      <c r="BD1550" s="123"/>
      <c r="BE1550" s="123"/>
      <c r="BF1550" s="123"/>
      <c r="BG1550" s="123"/>
      <c r="BH1550" s="123"/>
      <c r="BI1550" s="123"/>
      <c r="BJ1550" s="123"/>
      <c r="BK1550" s="123"/>
      <c r="BL1550" s="123"/>
      <c r="BM1550" s="123"/>
      <c r="BN1550" s="123"/>
      <c r="BO1550" s="123"/>
    </row>
    <row r="1551" spans="1:67" s="156" customFormat="1" ht="30" x14ac:dyDescent="0.35">
      <c r="A1551" s="14" t="s">
        <v>2986</v>
      </c>
      <c r="B1551" s="14" t="s">
        <v>18</v>
      </c>
      <c r="C1551" s="14">
        <v>2025</v>
      </c>
      <c r="D1551" s="14" t="str">
        <f t="array" ref="D1551">_xlfn.SWITCH(E1551,"Jatikalen","35.18.20","Kertosono", "35.18.08","Lengkong","35.18.19","Loceret","35.18.04","Tanjunganom","35.18.11","Wilangan","35.18.15")</f>
        <v>35.18.11</v>
      </c>
      <c r="E1551" s="8" t="s">
        <v>27</v>
      </c>
      <c r="F1551" s="14" t="s">
        <v>2850</v>
      </c>
      <c r="G1551" s="14" t="s">
        <v>2851</v>
      </c>
      <c r="H1551" s="8" t="s">
        <v>748</v>
      </c>
      <c r="I1551" s="14" t="s">
        <v>2852</v>
      </c>
      <c r="J1551" s="11">
        <v>135000</v>
      </c>
      <c r="K1551" s="8"/>
      <c r="L1551" s="172">
        <f>J1551*300000</f>
        <v>40500000000</v>
      </c>
      <c r="M1551" s="8"/>
      <c r="N1551" s="174"/>
      <c r="O1551" s="124"/>
      <c r="P1551" s="123"/>
      <c r="Q1551" s="123"/>
      <c r="R1551" s="123"/>
      <c r="S1551" s="123"/>
      <c r="T1551" s="123"/>
      <c r="U1551" s="123"/>
      <c r="V1551" s="123"/>
      <c r="W1551" s="123"/>
      <c r="X1551" s="123"/>
      <c r="Y1551" s="123"/>
      <c r="Z1551" s="123"/>
      <c r="AA1551" s="123"/>
      <c r="AB1551" s="123"/>
      <c r="AC1551" s="123"/>
      <c r="AD1551" s="123"/>
      <c r="AE1551" s="123"/>
      <c r="AF1551" s="123"/>
      <c r="AG1551" s="123"/>
      <c r="AH1551" s="123"/>
      <c r="AI1551" s="123"/>
      <c r="AJ1551" s="123"/>
      <c r="AK1551" s="123"/>
      <c r="AL1551" s="123"/>
      <c r="AM1551" s="123"/>
      <c r="AN1551" s="123"/>
      <c r="AO1551" s="123"/>
      <c r="AP1551" s="123"/>
      <c r="AQ1551" s="123"/>
      <c r="AR1551" s="123"/>
      <c r="AS1551" s="123"/>
      <c r="AT1551" s="123"/>
      <c r="AU1551" s="123"/>
      <c r="AV1551" s="123"/>
      <c r="AW1551" s="123"/>
      <c r="AX1551" s="123"/>
      <c r="AY1551" s="123"/>
      <c r="AZ1551" s="123"/>
      <c r="BA1551" s="123"/>
      <c r="BB1551" s="123"/>
      <c r="BC1551" s="123"/>
      <c r="BD1551" s="123"/>
      <c r="BE1551" s="123"/>
      <c r="BF1551" s="123"/>
      <c r="BG1551" s="123"/>
      <c r="BH1551" s="123"/>
      <c r="BI1551" s="123"/>
      <c r="BJ1551" s="123"/>
      <c r="BK1551" s="123"/>
      <c r="BL1551" s="123"/>
      <c r="BM1551" s="123"/>
      <c r="BN1551" s="123"/>
      <c r="BO1551" s="123"/>
    </row>
    <row r="1552" spans="1:67" s="156" customFormat="1" ht="40" x14ac:dyDescent="0.35">
      <c r="A1552" s="14" t="s">
        <v>2986</v>
      </c>
      <c r="B1552" s="14" t="s">
        <v>18</v>
      </c>
      <c r="C1552" s="14">
        <v>2025</v>
      </c>
      <c r="D1552" s="14" t="str">
        <f t="array" ref="D1552">_xlfn.SWITCH(E1552,"Bagor","35.18.14","Sukomoro",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2" s="8" t="s">
        <v>18</v>
      </c>
      <c r="F1552" s="14" t="s">
        <v>2853</v>
      </c>
      <c r="G1552" s="139" t="s">
        <v>2854</v>
      </c>
      <c r="H1552" s="8" t="s">
        <v>2251</v>
      </c>
      <c r="I1552" s="139" t="s">
        <v>2855</v>
      </c>
      <c r="J1552" s="11">
        <v>7000</v>
      </c>
      <c r="K1552" s="8" t="s">
        <v>2034</v>
      </c>
      <c r="L1552" s="172">
        <v>28000000</v>
      </c>
      <c r="M1552" s="8"/>
      <c r="N1552" s="174"/>
      <c r="O1552" s="124"/>
      <c r="P1552" s="123"/>
      <c r="Q1552" s="123"/>
      <c r="R1552" s="123"/>
      <c r="S1552" s="123"/>
      <c r="T1552" s="123"/>
      <c r="U1552" s="123"/>
      <c r="V1552" s="123"/>
      <c r="W1552" s="123"/>
      <c r="X1552" s="123"/>
      <c r="Y1552" s="123"/>
      <c r="Z1552" s="123"/>
      <c r="AA1552" s="123"/>
      <c r="AB1552" s="123"/>
      <c r="AC1552" s="123"/>
      <c r="AD1552" s="123"/>
      <c r="AE1552" s="123"/>
      <c r="AF1552" s="123"/>
      <c r="AG1552" s="123"/>
      <c r="AH1552" s="123"/>
      <c r="AI1552" s="123"/>
      <c r="AJ1552" s="123"/>
      <c r="AK1552" s="123"/>
      <c r="AL1552" s="123"/>
      <c r="AM1552" s="123"/>
      <c r="AN1552" s="123"/>
      <c r="AO1552" s="123"/>
      <c r="AP1552" s="123"/>
      <c r="AQ1552" s="123"/>
      <c r="AR1552" s="123"/>
      <c r="AS1552" s="123"/>
      <c r="AT1552" s="123"/>
      <c r="AU1552" s="123"/>
      <c r="AV1552" s="123"/>
      <c r="AW1552" s="123"/>
      <c r="AX1552" s="123"/>
      <c r="AY1552" s="123"/>
      <c r="AZ1552" s="123"/>
      <c r="BA1552" s="123"/>
      <c r="BB1552" s="123"/>
      <c r="BC1552" s="123"/>
      <c r="BD1552" s="123"/>
      <c r="BE1552" s="123"/>
      <c r="BF1552" s="123"/>
      <c r="BG1552" s="123"/>
      <c r="BH1552" s="123"/>
      <c r="BI1552" s="123"/>
      <c r="BJ1552" s="123"/>
      <c r="BK1552" s="123"/>
      <c r="BL1552" s="123"/>
      <c r="BM1552" s="123"/>
      <c r="BN1552" s="123"/>
      <c r="BO1552" s="123"/>
    </row>
    <row r="1553" spans="1:67" s="156" customFormat="1" ht="50" x14ac:dyDescent="0.35">
      <c r="A1553" s="14" t="s">
        <v>2986</v>
      </c>
      <c r="B1553" s="14" t="s">
        <v>18</v>
      </c>
      <c r="C1553" s="14">
        <v>2025</v>
      </c>
      <c r="D1553" s="14" t="str">
        <f t="array" ref="D1553">_xlfn.SWITCH(E1553,"Bagor","35.18.14","Sukomoro",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3" s="8" t="s">
        <v>18</v>
      </c>
      <c r="F1553" s="14" t="s">
        <v>2856</v>
      </c>
      <c r="G1553" s="139" t="s">
        <v>2857</v>
      </c>
      <c r="H1553" s="8" t="s">
        <v>2251</v>
      </c>
      <c r="I1553" s="139" t="s">
        <v>993</v>
      </c>
      <c r="J1553" s="11">
        <v>180</v>
      </c>
      <c r="K1553" s="8" t="s">
        <v>1011</v>
      </c>
      <c r="L1553" s="172">
        <v>72000000</v>
      </c>
      <c r="M1553" s="8"/>
      <c r="N1553" s="174"/>
      <c r="O1553" s="124"/>
      <c r="P1553" s="123"/>
      <c r="Q1553" s="123"/>
      <c r="R1553" s="123"/>
      <c r="S1553" s="123"/>
      <c r="T1553" s="123"/>
      <c r="U1553" s="123"/>
      <c r="V1553" s="123"/>
      <c r="W1553" s="123"/>
      <c r="X1553" s="123"/>
      <c r="Y1553" s="123"/>
      <c r="Z1553" s="123"/>
      <c r="AA1553" s="123"/>
      <c r="AB1553" s="123"/>
      <c r="AC1553" s="123"/>
      <c r="AD1553" s="123"/>
      <c r="AE1553" s="123"/>
      <c r="AF1553" s="123"/>
      <c r="AG1553" s="123"/>
      <c r="AH1553" s="123"/>
      <c r="AI1553" s="123"/>
      <c r="AJ1553" s="123"/>
      <c r="AK1553" s="123"/>
      <c r="AL1553" s="123"/>
      <c r="AM1553" s="123"/>
      <c r="AN1553" s="123"/>
      <c r="AO1553" s="123"/>
      <c r="AP1553" s="123"/>
      <c r="AQ1553" s="123"/>
      <c r="AR1553" s="123"/>
      <c r="AS1553" s="123"/>
      <c r="AT1553" s="123"/>
      <c r="AU1553" s="123"/>
      <c r="AV1553" s="123"/>
      <c r="AW1553" s="123"/>
      <c r="AX1553" s="123"/>
      <c r="AY1553" s="123"/>
      <c r="AZ1553" s="123"/>
      <c r="BA1553" s="123"/>
      <c r="BB1553" s="123"/>
      <c r="BC1553" s="123"/>
      <c r="BD1553" s="123"/>
      <c r="BE1553" s="123"/>
      <c r="BF1553" s="123"/>
      <c r="BG1553" s="123"/>
      <c r="BH1553" s="123"/>
      <c r="BI1553" s="123"/>
      <c r="BJ1553" s="123"/>
      <c r="BK1553" s="123"/>
      <c r="BL1553" s="123"/>
      <c r="BM1553" s="123"/>
      <c r="BN1553" s="123"/>
      <c r="BO1553" s="123"/>
    </row>
    <row r="1554" spans="1:67" s="123" customFormat="1" ht="30" x14ac:dyDescent="0.35">
      <c r="A1554" s="14" t="s">
        <v>2986</v>
      </c>
      <c r="B1554" s="14" t="s">
        <v>18</v>
      </c>
      <c r="C1554" s="14">
        <v>2025</v>
      </c>
      <c r="D1554" s="14" t="str">
        <f t="array" ref="D1554">_xlfn.SWITCH(E1554,"Bagor","35.18.14","Sukomoro",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54" s="8" t="s">
        <v>91</v>
      </c>
      <c r="F1554" s="14" t="s">
        <v>2839</v>
      </c>
      <c r="G1554" s="139" t="s">
        <v>2840</v>
      </c>
      <c r="H1554" s="8" t="s">
        <v>43</v>
      </c>
      <c r="I1554" s="139" t="s">
        <v>310</v>
      </c>
      <c r="J1554" s="177">
        <v>7000000</v>
      </c>
      <c r="K1554" s="8" t="s">
        <v>11</v>
      </c>
      <c r="L1554" s="11">
        <f>J1554*270</f>
        <v>1890000000</v>
      </c>
      <c r="M1554" s="24"/>
      <c r="O1554" s="124"/>
    </row>
    <row r="1555" spans="1:67" s="123" customFormat="1" ht="30" x14ac:dyDescent="0.35">
      <c r="A1555" s="14" t="s">
        <v>2986</v>
      </c>
      <c r="B1555" s="14" t="s">
        <v>18</v>
      </c>
      <c r="C1555" s="14">
        <v>2025</v>
      </c>
      <c r="D1555" s="14" t="str">
        <f t="array" ref="D1555">_xlfn.SWITCH(E1555,"Bagor","35.18.14","Sukomoro",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5" s="8" t="s">
        <v>18</v>
      </c>
      <c r="F1555" s="14" t="s">
        <v>2858</v>
      </c>
      <c r="G1555" s="139" t="s">
        <v>2859</v>
      </c>
      <c r="H1555" s="8" t="s">
        <v>2251</v>
      </c>
      <c r="I1555" s="139" t="s">
        <v>2860</v>
      </c>
      <c r="J1555" s="11">
        <v>5000</v>
      </c>
      <c r="K1555" s="8" t="s">
        <v>1266</v>
      </c>
      <c r="L1555" s="172">
        <f>J1555*50000</f>
        <v>250000000</v>
      </c>
      <c r="M1555" s="24"/>
      <c r="O1555" s="124"/>
    </row>
    <row r="1556" spans="1:67" s="123" customFormat="1" ht="20" x14ac:dyDescent="0.35">
      <c r="A1556" s="14" t="s">
        <v>2986</v>
      </c>
      <c r="B1556" s="14" t="s">
        <v>18</v>
      </c>
      <c r="C1556" s="14">
        <v>2025</v>
      </c>
      <c r="D1556" s="14" t="str">
        <f t="array" ref="D1556">_xlfn.SWITCH(E1556,"Bagor","35.18.14","Sukomoro",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6" s="8" t="s">
        <v>18</v>
      </c>
      <c r="F1556" s="139" t="s">
        <v>2861</v>
      </c>
      <c r="G1556" s="139" t="s">
        <v>2862</v>
      </c>
      <c r="H1556" s="8" t="s">
        <v>748</v>
      </c>
      <c r="I1556" s="14" t="s">
        <v>2863</v>
      </c>
      <c r="J1556" s="11">
        <v>860000</v>
      </c>
      <c r="K1556" s="8" t="s">
        <v>87</v>
      </c>
      <c r="L1556" s="12">
        <f>J1556*2000</f>
        <v>1720000000</v>
      </c>
      <c r="M1556" s="24"/>
      <c r="O1556" s="124"/>
    </row>
    <row r="1557" spans="1:67" s="123" customFormat="1" ht="20" x14ac:dyDescent="0.35">
      <c r="A1557" s="14" t="s">
        <v>2986</v>
      </c>
      <c r="B1557" s="14" t="s">
        <v>18</v>
      </c>
      <c r="C1557" s="14">
        <v>2025</v>
      </c>
      <c r="D1557" s="14" t="str">
        <f t="array" ref="D1557">_xlfn.SWITCH(E1557,"Bagor","35.18.14","Sukomoro",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7" s="149" t="s">
        <v>57</v>
      </c>
      <c r="F1557" s="78" t="s">
        <v>2864</v>
      </c>
      <c r="G1557" s="78" t="s">
        <v>2865</v>
      </c>
      <c r="H1557" s="164" t="s">
        <v>9</v>
      </c>
      <c r="I1557" s="78" t="s">
        <v>562</v>
      </c>
      <c r="J1557" s="178">
        <v>1</v>
      </c>
      <c r="K1557" s="164" t="s">
        <v>1057</v>
      </c>
      <c r="L1557" s="152">
        <v>45000000</v>
      </c>
      <c r="M1557" s="156"/>
      <c r="N1557" s="156"/>
      <c r="O1557" s="124"/>
    </row>
    <row r="1558" spans="1:67" s="123" customFormat="1" ht="50" x14ac:dyDescent="0.35">
      <c r="A1558" s="14" t="s">
        <v>2986</v>
      </c>
      <c r="B1558" s="14" t="s">
        <v>18</v>
      </c>
      <c r="C1558" s="14">
        <v>2025</v>
      </c>
      <c r="D1558" s="14" t="str">
        <f t="array" ref="D1558">_xlfn.SWITCH(E1558,"Jatikalen","35.18.20","Kertosono", "35.18.08","Lengkong","35.18.19","Loceret","35.18.04","Tanjunganom","35.18.11","Wilangan","35.18.15")</f>
        <v>35.18.11</v>
      </c>
      <c r="E1558" s="8" t="s">
        <v>27</v>
      </c>
      <c r="F1558" s="14" t="s">
        <v>2866</v>
      </c>
      <c r="G1558" s="14" t="s">
        <v>2867</v>
      </c>
      <c r="H1558" s="13" t="s">
        <v>9</v>
      </c>
      <c r="I1558" s="78" t="s">
        <v>1218</v>
      </c>
      <c r="J1558" s="164"/>
      <c r="K1558" s="164"/>
      <c r="L1558" s="152">
        <v>8000000</v>
      </c>
      <c r="M1558" s="156"/>
      <c r="N1558" s="25" t="s">
        <v>2868</v>
      </c>
      <c r="O1558" s="124"/>
    </row>
    <row r="1559" spans="1:67" s="156" customFormat="1" ht="30" x14ac:dyDescent="0.35">
      <c r="A1559" s="14" t="s">
        <v>2986</v>
      </c>
      <c r="B1559" s="14" t="s">
        <v>18</v>
      </c>
      <c r="C1559" s="14">
        <v>2025</v>
      </c>
      <c r="D1559" s="14" t="str">
        <f t="array" ref="D1559">_xlfn.SWITCH(E1559,"Bagor","35.18.14","Sukomoro",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9" s="8" t="s">
        <v>18</v>
      </c>
      <c r="F1559" s="14" t="s">
        <v>2869</v>
      </c>
      <c r="G1559" s="139" t="s">
        <v>2870</v>
      </c>
      <c r="H1559" s="8" t="s">
        <v>748</v>
      </c>
      <c r="I1559" s="139" t="s">
        <v>2803</v>
      </c>
      <c r="J1559" s="11">
        <v>1660000</v>
      </c>
      <c r="K1559" s="8" t="s">
        <v>11</v>
      </c>
      <c r="L1559" s="172">
        <f>J1559*270</f>
        <v>448200000</v>
      </c>
      <c r="M1559" s="8"/>
      <c r="N1559" s="174"/>
      <c r="O1559" s="124"/>
      <c r="P1559" s="123"/>
      <c r="Q1559" s="123"/>
      <c r="R1559" s="123"/>
      <c r="S1559" s="123"/>
      <c r="T1559" s="123"/>
      <c r="U1559" s="123"/>
      <c r="V1559" s="123"/>
      <c r="W1559" s="123"/>
      <c r="X1559" s="123"/>
      <c r="Y1559" s="123"/>
      <c r="Z1559" s="123"/>
      <c r="AA1559" s="123"/>
      <c r="AB1559" s="123"/>
      <c r="AC1559" s="123"/>
      <c r="AD1559" s="123"/>
      <c r="AE1559" s="123"/>
      <c r="AF1559" s="123"/>
      <c r="AG1559" s="123"/>
      <c r="AH1559" s="123"/>
      <c r="AI1559" s="123"/>
      <c r="AJ1559" s="123"/>
      <c r="AK1559" s="123"/>
      <c r="AL1559" s="123"/>
      <c r="AM1559" s="123"/>
      <c r="AN1559" s="123"/>
      <c r="AO1559" s="123"/>
      <c r="AP1559" s="123"/>
      <c r="AQ1559" s="123"/>
      <c r="AR1559" s="123"/>
      <c r="AS1559" s="123"/>
      <c r="AT1559" s="123"/>
      <c r="AU1559" s="123"/>
      <c r="AV1559" s="123"/>
      <c r="AW1559" s="123"/>
      <c r="AX1559" s="123"/>
      <c r="AY1559" s="123"/>
      <c r="AZ1559" s="123"/>
      <c r="BA1559" s="123"/>
      <c r="BB1559" s="123"/>
      <c r="BC1559" s="123"/>
      <c r="BD1559" s="123"/>
      <c r="BE1559" s="123"/>
      <c r="BF1559" s="123"/>
      <c r="BG1559" s="123"/>
      <c r="BH1559" s="123"/>
      <c r="BI1559" s="123"/>
      <c r="BJ1559" s="123"/>
      <c r="BK1559" s="123"/>
      <c r="BL1559" s="123"/>
      <c r="BM1559" s="123"/>
      <c r="BN1559" s="123"/>
      <c r="BO1559" s="123"/>
    </row>
    <row r="1560" spans="1:67" s="156" customFormat="1" ht="40" x14ac:dyDescent="0.35">
      <c r="A1560" s="14" t="s">
        <v>2986</v>
      </c>
      <c r="B1560" s="14" t="s">
        <v>18</v>
      </c>
      <c r="C1560" s="14">
        <v>2025</v>
      </c>
      <c r="D1560" s="14" t="str">
        <f t="array" ref="D1560">_xlfn.SWITCH(E1560,"Bagor","35.18.14","Sukomoro",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0" s="8" t="s">
        <v>7</v>
      </c>
      <c r="F1560" s="14" t="s">
        <v>2871</v>
      </c>
      <c r="G1560" s="14" t="s">
        <v>2872</v>
      </c>
      <c r="H1560" s="8" t="s">
        <v>2251</v>
      </c>
      <c r="I1560" s="139" t="s">
        <v>2803</v>
      </c>
      <c r="J1560" s="11">
        <v>2210000</v>
      </c>
      <c r="K1560" s="8" t="s">
        <v>11</v>
      </c>
      <c r="L1560" s="11">
        <f>J1560*270</f>
        <v>596700000</v>
      </c>
      <c r="M1560" s="8"/>
      <c r="N1560" s="174"/>
      <c r="O1560" s="124"/>
      <c r="P1560" s="123"/>
      <c r="Q1560" s="123"/>
      <c r="R1560" s="123"/>
      <c r="S1560" s="123"/>
      <c r="T1560" s="123"/>
      <c r="U1560" s="123"/>
      <c r="V1560" s="123"/>
      <c r="W1560" s="123"/>
      <c r="X1560" s="123"/>
      <c r="Y1560" s="123"/>
      <c r="Z1560" s="123"/>
      <c r="AA1560" s="123"/>
      <c r="AB1560" s="123"/>
      <c r="AC1560" s="123"/>
      <c r="AD1560" s="123"/>
      <c r="AE1560" s="123"/>
      <c r="AF1560" s="123"/>
      <c r="AG1560" s="123"/>
      <c r="AH1560" s="123"/>
      <c r="AI1560" s="123"/>
      <c r="AJ1560" s="123"/>
      <c r="AK1560" s="123"/>
      <c r="AL1560" s="123"/>
      <c r="AM1560" s="123"/>
      <c r="AN1560" s="123"/>
      <c r="AO1560" s="123"/>
      <c r="AP1560" s="123"/>
      <c r="AQ1560" s="123"/>
      <c r="AR1560" s="123"/>
      <c r="AS1560" s="123"/>
      <c r="AT1560" s="123"/>
      <c r="AU1560" s="123"/>
      <c r="AV1560" s="123"/>
      <c r="AW1560" s="123"/>
      <c r="AX1560" s="123"/>
      <c r="AY1560" s="123"/>
      <c r="AZ1560" s="123"/>
      <c r="BA1560" s="123"/>
      <c r="BB1560" s="123"/>
      <c r="BC1560" s="123"/>
      <c r="BD1560" s="123"/>
      <c r="BE1560" s="123"/>
      <c r="BF1560" s="123"/>
      <c r="BG1560" s="123"/>
      <c r="BH1560" s="123"/>
      <c r="BI1560" s="123"/>
      <c r="BJ1560" s="123"/>
      <c r="BK1560" s="123"/>
      <c r="BL1560" s="123"/>
      <c r="BM1560" s="123"/>
      <c r="BN1560" s="123"/>
      <c r="BO1560" s="123"/>
    </row>
    <row r="1561" spans="1:67" s="156" customFormat="1" ht="30" x14ac:dyDescent="0.35">
      <c r="A1561" s="14" t="s">
        <v>2986</v>
      </c>
      <c r="B1561" s="14" t="s">
        <v>18</v>
      </c>
      <c r="C1561" s="14">
        <v>2025</v>
      </c>
      <c r="D1561" s="14" t="str">
        <f t="array" ref="D1561">_xlfn.SWITCH(E1561,"Bagor","35.18.14","Sukomoro",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1" s="8" t="s">
        <v>7</v>
      </c>
      <c r="F1561" s="14" t="s">
        <v>2873</v>
      </c>
      <c r="G1561" s="139" t="s">
        <v>2874</v>
      </c>
      <c r="H1561" s="8" t="s">
        <v>2251</v>
      </c>
      <c r="I1561" s="139" t="s">
        <v>10</v>
      </c>
      <c r="J1561" s="12">
        <v>2500000</v>
      </c>
      <c r="K1561" s="8" t="s">
        <v>11</v>
      </c>
      <c r="L1561" s="11">
        <f>J1561*270</f>
        <v>675000000</v>
      </c>
      <c r="M1561" s="8"/>
      <c r="N1561" s="174"/>
      <c r="O1561" s="124"/>
      <c r="P1561" s="123"/>
      <c r="Q1561" s="123"/>
      <c r="R1561" s="123"/>
      <c r="S1561" s="123"/>
      <c r="T1561" s="123"/>
      <c r="U1561" s="123"/>
      <c r="V1561" s="123"/>
      <c r="W1561" s="123"/>
      <c r="X1561" s="123"/>
      <c r="Y1561" s="123"/>
      <c r="Z1561" s="123"/>
      <c r="AA1561" s="123"/>
      <c r="AB1561" s="123"/>
      <c r="AC1561" s="123"/>
      <c r="AD1561" s="123"/>
      <c r="AE1561" s="123"/>
      <c r="AF1561" s="123"/>
      <c r="AG1561" s="123"/>
      <c r="AH1561" s="123"/>
      <c r="AI1561" s="123"/>
      <c r="AJ1561" s="123"/>
      <c r="AK1561" s="123"/>
      <c r="AL1561" s="123"/>
      <c r="AM1561" s="123"/>
      <c r="AN1561" s="123"/>
      <c r="AO1561" s="123"/>
      <c r="AP1561" s="123"/>
      <c r="AQ1561" s="123"/>
      <c r="AR1561" s="123"/>
      <c r="AS1561" s="123"/>
      <c r="AT1561" s="123"/>
      <c r="AU1561" s="123"/>
      <c r="AV1561" s="123"/>
      <c r="AW1561" s="123"/>
      <c r="AX1561" s="123"/>
      <c r="AY1561" s="123"/>
      <c r="AZ1561" s="123"/>
      <c r="BA1561" s="123"/>
      <c r="BB1561" s="123"/>
      <c r="BC1561" s="123"/>
      <c r="BD1561" s="123"/>
      <c r="BE1561" s="123"/>
      <c r="BF1561" s="123"/>
      <c r="BG1561" s="123"/>
      <c r="BH1561" s="123"/>
      <c r="BI1561" s="123"/>
      <c r="BJ1561" s="123"/>
      <c r="BK1561" s="123"/>
      <c r="BL1561" s="123"/>
      <c r="BM1561" s="123"/>
      <c r="BN1561" s="123"/>
      <c r="BO1561" s="123"/>
    </row>
    <row r="1562" spans="1:67" s="123" customFormat="1" ht="40" x14ac:dyDescent="0.35">
      <c r="A1562" s="14" t="s">
        <v>2986</v>
      </c>
      <c r="B1562" s="14" t="s">
        <v>18</v>
      </c>
      <c r="C1562" s="14">
        <v>2025</v>
      </c>
      <c r="D1562" s="14" t="str">
        <f t="array" ref="D1562">_xlfn.SWITCH(E1562,"Jatikalen","35.18.20","Kertosono", "35.18.08","Lengkong","35.18.19","Loceret","35.18.04","Tanjunganom","35.18.11","Wilangan","35.18.15")</f>
        <v>35.18.11</v>
      </c>
      <c r="E1562" s="8" t="s">
        <v>27</v>
      </c>
      <c r="F1562" s="14" t="s">
        <v>2875</v>
      </c>
      <c r="G1562" s="139" t="s">
        <v>2876</v>
      </c>
      <c r="H1562" s="8" t="s">
        <v>43</v>
      </c>
      <c r="I1562" s="139" t="s">
        <v>2803</v>
      </c>
      <c r="J1562" s="11">
        <v>3215600</v>
      </c>
      <c r="K1562" s="8" t="s">
        <v>1120</v>
      </c>
      <c r="L1562" s="11">
        <f>J1562*270</f>
        <v>868212000</v>
      </c>
      <c r="M1562" s="24"/>
      <c r="O1562" s="124"/>
    </row>
    <row r="1563" spans="1:67" s="123" customFormat="1" ht="50" x14ac:dyDescent="0.35">
      <c r="A1563" s="14" t="s">
        <v>2986</v>
      </c>
      <c r="B1563" s="14" t="s">
        <v>18</v>
      </c>
      <c r="C1563" s="14">
        <v>2025</v>
      </c>
      <c r="D1563" s="14" t="str">
        <f t="array" ref="D1563">_xlfn.SWITCH(E1563,"Jatikalen","35.18.20","Kertosono", "35.18.08","Lengkong","35.18.19","Loceret","35.18.04","Tanjunganom","35.18.11","Wilangan","35.18.15")</f>
        <v>35.18.11</v>
      </c>
      <c r="E1563" s="8" t="s">
        <v>27</v>
      </c>
      <c r="F1563" s="14" t="s">
        <v>2877</v>
      </c>
      <c r="G1563" s="156" t="s">
        <v>2878</v>
      </c>
      <c r="H1563" s="8" t="s">
        <v>9</v>
      </c>
      <c r="I1563" s="139" t="s">
        <v>2879</v>
      </c>
      <c r="J1563" s="11">
        <v>198000</v>
      </c>
      <c r="K1563" s="8" t="s">
        <v>217</v>
      </c>
      <c r="L1563" s="172">
        <v>10350000</v>
      </c>
      <c r="M1563" s="24"/>
      <c r="O1563" s="124"/>
    </row>
    <row r="1564" spans="1:67" s="123" customFormat="1" ht="30" x14ac:dyDescent="0.35">
      <c r="A1564" s="14" t="s">
        <v>2986</v>
      </c>
      <c r="B1564" s="14" t="s">
        <v>18</v>
      </c>
      <c r="C1564" s="14">
        <v>2025</v>
      </c>
      <c r="D1564" s="14" t="str">
        <f t="array" ref="D1564">_xlfn.SWITCH(E1564,"Bagor","35.18.14","Sukomoro",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4" s="8" t="s">
        <v>98</v>
      </c>
      <c r="F1564" s="14" t="s">
        <v>2880</v>
      </c>
      <c r="G1564" s="156" t="s">
        <v>2881</v>
      </c>
      <c r="H1564" s="8" t="s">
        <v>748</v>
      </c>
      <c r="I1564" s="139" t="s">
        <v>2882</v>
      </c>
      <c r="J1564" s="11">
        <v>100</v>
      </c>
      <c r="K1564" s="8" t="s">
        <v>1938</v>
      </c>
      <c r="L1564" s="172">
        <v>7800000</v>
      </c>
      <c r="M1564" s="24"/>
      <c r="O1564" s="124"/>
    </row>
    <row r="1565" spans="1:67" s="156" customFormat="1" ht="60" x14ac:dyDescent="0.35">
      <c r="A1565" s="14" t="s">
        <v>2986</v>
      </c>
      <c r="B1565" s="14" t="s">
        <v>18</v>
      </c>
      <c r="C1565" s="14">
        <v>2025</v>
      </c>
      <c r="D1565" s="14" t="str">
        <f t="array" ref="D1565">_xlfn.SWITCH(E1565,"Bagor","35.18.14","Sukomoro",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65" s="8" t="s">
        <v>84</v>
      </c>
      <c r="F1565" s="14" t="s">
        <v>2883</v>
      </c>
      <c r="G1565" s="139" t="s">
        <v>2884</v>
      </c>
      <c r="H1565" s="8" t="s">
        <v>748</v>
      </c>
      <c r="I1565" s="14" t="s">
        <v>2885</v>
      </c>
      <c r="J1565" s="12">
        <v>1274</v>
      </c>
      <c r="K1565" s="8" t="s">
        <v>1057</v>
      </c>
      <c r="L1565" s="12">
        <v>41726783580</v>
      </c>
      <c r="M1565" s="8"/>
      <c r="N1565" s="174"/>
      <c r="O1565" s="124"/>
      <c r="P1565" s="123"/>
      <c r="Q1565" s="123"/>
      <c r="R1565" s="123"/>
      <c r="S1565" s="123"/>
      <c r="T1565" s="123"/>
      <c r="U1565" s="123"/>
      <c r="V1565" s="123"/>
      <c r="W1565" s="123"/>
      <c r="X1565" s="123"/>
      <c r="Y1565" s="123"/>
      <c r="Z1565" s="123"/>
      <c r="AA1565" s="123"/>
      <c r="AB1565" s="123"/>
      <c r="AC1565" s="123"/>
      <c r="AD1565" s="123"/>
      <c r="AE1565" s="123"/>
      <c r="AF1565" s="123"/>
      <c r="AG1565" s="123"/>
      <c r="AH1565" s="123"/>
      <c r="AI1565" s="123"/>
      <c r="AJ1565" s="123"/>
      <c r="AK1565" s="123"/>
      <c r="AL1565" s="123"/>
      <c r="AM1565" s="123"/>
      <c r="AN1565" s="123"/>
      <c r="AO1565" s="123"/>
      <c r="AP1565" s="123"/>
      <c r="AQ1565" s="123"/>
      <c r="AR1565" s="123"/>
      <c r="AS1565" s="123"/>
      <c r="AT1565" s="123"/>
      <c r="AU1565" s="123"/>
      <c r="AV1565" s="123"/>
      <c r="AW1565" s="123"/>
      <c r="AX1565" s="123"/>
      <c r="AY1565" s="123"/>
      <c r="AZ1565" s="123"/>
      <c r="BA1565" s="123"/>
      <c r="BB1565" s="123"/>
      <c r="BC1565" s="123"/>
      <c r="BD1565" s="123"/>
      <c r="BE1565" s="123"/>
      <c r="BF1565" s="123"/>
      <c r="BG1565" s="123"/>
      <c r="BH1565" s="123"/>
      <c r="BI1565" s="123"/>
      <c r="BJ1565" s="123"/>
      <c r="BK1565" s="123"/>
      <c r="BL1565" s="123"/>
      <c r="BM1565" s="123"/>
      <c r="BN1565" s="123"/>
      <c r="BO1565" s="123"/>
    </row>
    <row r="1566" spans="1:67" s="123" customFormat="1" ht="30" x14ac:dyDescent="0.35">
      <c r="A1566" s="14" t="s">
        <v>2986</v>
      </c>
      <c r="B1566" s="14" t="s">
        <v>18</v>
      </c>
      <c r="C1566" s="14">
        <v>2025</v>
      </c>
      <c r="D1566" s="14" t="str">
        <f t="array" ref="D1566">_xlfn.SWITCH(E1566,"Bagor","35.18.14","Sukomoro",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6" s="8" t="s">
        <v>98</v>
      </c>
      <c r="F1566" s="14" t="s">
        <v>2886</v>
      </c>
      <c r="G1566" s="156" t="s">
        <v>2887</v>
      </c>
      <c r="H1566" s="8" t="s">
        <v>9</v>
      </c>
      <c r="I1566" s="139" t="s">
        <v>2888</v>
      </c>
      <c r="J1566" s="11">
        <v>17000</v>
      </c>
      <c r="K1566" s="8" t="s">
        <v>217</v>
      </c>
      <c r="L1566" s="172">
        <v>500000000</v>
      </c>
      <c r="M1566" s="24"/>
      <c r="O1566" s="124"/>
    </row>
    <row r="1567" spans="1:67" ht="30" x14ac:dyDescent="0.2">
      <c r="A1567" s="14" t="s">
        <v>2986</v>
      </c>
      <c r="B1567" s="14" t="s">
        <v>18</v>
      </c>
      <c r="C1567" s="14">
        <v>2025</v>
      </c>
      <c r="D1567" s="14" t="str">
        <f t="array" ref="D1567">_xlfn.SWITCH(E1567,"Jatikalen","35.18.20","Kertosono", "35.18.08","Lengkong","35.18.19","Loceret","35.18.04","Tanjunganom","35.18.11","Wilangan","35.18.15")</f>
        <v>35.18.20</v>
      </c>
      <c r="E1567" s="8" t="s">
        <v>801</v>
      </c>
      <c r="F1567" s="14" t="s">
        <v>2889</v>
      </c>
      <c r="G1567" s="156" t="s">
        <v>2890</v>
      </c>
      <c r="H1567" s="8" t="s">
        <v>9</v>
      </c>
      <c r="I1567" s="14" t="s">
        <v>2891</v>
      </c>
      <c r="J1567" s="11">
        <v>125</v>
      </c>
      <c r="K1567" s="8" t="s">
        <v>730</v>
      </c>
      <c r="L1567" s="172">
        <v>312000000</v>
      </c>
    </row>
    <row r="1568" spans="1:67" ht="30" x14ac:dyDescent="0.2">
      <c r="A1568" s="14" t="s">
        <v>2986</v>
      </c>
      <c r="B1568" s="14" t="s">
        <v>18</v>
      </c>
      <c r="C1568" s="14">
        <v>2025</v>
      </c>
      <c r="D1568" s="14" t="str">
        <f t="array" ref="D1568">_xlfn.SWITCH(E1568,"Bagor","35.18.14","Sukomoro",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8" s="8" t="s">
        <v>98</v>
      </c>
      <c r="F1568" s="14" t="s">
        <v>2892</v>
      </c>
      <c r="G1568" s="156" t="s">
        <v>2893</v>
      </c>
      <c r="H1568" s="8" t="s">
        <v>9</v>
      </c>
      <c r="I1568" s="14" t="s">
        <v>1893</v>
      </c>
      <c r="J1568" s="11">
        <v>110</v>
      </c>
      <c r="K1568" s="8" t="s">
        <v>700</v>
      </c>
      <c r="L1568" s="172">
        <v>8000000</v>
      </c>
      <c r="M1568" s="3"/>
      <c r="O1568" s="2"/>
    </row>
    <row r="1569" spans="1:67" ht="50" x14ac:dyDescent="0.2">
      <c r="A1569" s="14" t="s">
        <v>2986</v>
      </c>
      <c r="B1569" s="14" t="s">
        <v>18</v>
      </c>
      <c r="C1569" s="14">
        <v>2025</v>
      </c>
      <c r="D1569" s="14" t="str">
        <f t="array" ref="D1569">_xlfn.SWITCH(E1569,"Jatikalen","35.18.20","Kertosono", "35.18.08","Lengkong","35.18.19","Loceret","35.18.04","Tanjunganom","35.18.11","Wilangan","35.18.15")</f>
        <v>35.18.08</v>
      </c>
      <c r="E1569" s="8" t="s">
        <v>75</v>
      </c>
      <c r="F1569" s="14" t="s">
        <v>2894</v>
      </c>
      <c r="G1569" s="156" t="s">
        <v>2895</v>
      </c>
      <c r="H1569" s="8" t="s">
        <v>9</v>
      </c>
      <c r="I1569" s="14" t="s">
        <v>2896</v>
      </c>
      <c r="J1569" s="11">
        <v>45</v>
      </c>
      <c r="K1569" s="8" t="s">
        <v>45</v>
      </c>
      <c r="L1569" s="172">
        <v>26000000</v>
      </c>
      <c r="M1569" s="3"/>
      <c r="O1569" s="2"/>
    </row>
    <row r="1570" spans="1:67" ht="40" x14ac:dyDescent="0.2">
      <c r="A1570" s="14" t="s">
        <v>2986</v>
      </c>
      <c r="B1570" s="14" t="s">
        <v>18</v>
      </c>
      <c r="C1570" s="14">
        <v>2025</v>
      </c>
      <c r="D1570" s="14" t="str">
        <f t="array" ref="D1570">_xlfn.SWITCH(E1570,"Bagor","35.18.14","Sukomoro",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0" s="8" t="s">
        <v>98</v>
      </c>
      <c r="F1570" s="14" t="s">
        <v>2897</v>
      </c>
      <c r="G1570" s="14" t="s">
        <v>2898</v>
      </c>
      <c r="H1570" s="8" t="s">
        <v>43</v>
      </c>
      <c r="I1570" s="14" t="s">
        <v>2899</v>
      </c>
      <c r="J1570" s="11">
        <v>500</v>
      </c>
      <c r="K1570" s="8" t="s">
        <v>2821</v>
      </c>
      <c r="L1570" s="172">
        <f>J1570*250000</f>
        <v>125000000</v>
      </c>
      <c r="M1570" s="3"/>
      <c r="O1570" s="2"/>
    </row>
    <row r="1571" spans="1:67" s="156" customFormat="1" ht="40" x14ac:dyDescent="0.35">
      <c r="A1571" s="14" t="s">
        <v>2986</v>
      </c>
      <c r="B1571" s="14" t="s">
        <v>18</v>
      </c>
      <c r="C1571" s="14">
        <v>2025</v>
      </c>
      <c r="D1571" s="14" t="str">
        <f t="array" ref="D1571">_xlfn.SWITCH(E1571,"Bagor","35.18.14","Sukomoro",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1" s="8" t="s">
        <v>50</v>
      </c>
      <c r="F1571" s="14" t="s">
        <v>2900</v>
      </c>
      <c r="G1571" s="14" t="s">
        <v>2901</v>
      </c>
      <c r="H1571" s="8" t="s">
        <v>748</v>
      </c>
      <c r="I1571" s="14" t="s">
        <v>2902</v>
      </c>
      <c r="J1571" s="175">
        <v>20198</v>
      </c>
      <c r="K1571" s="8" t="s">
        <v>730</v>
      </c>
      <c r="L1571" s="176">
        <v>157410000000</v>
      </c>
      <c r="M1571" s="8"/>
      <c r="N1571" s="174"/>
      <c r="O1571" s="124"/>
      <c r="P1571" s="123"/>
      <c r="Q1571" s="123"/>
      <c r="R1571" s="123"/>
      <c r="S1571" s="123"/>
      <c r="T1571" s="123"/>
      <c r="U1571" s="123"/>
      <c r="V1571" s="123"/>
      <c r="W1571" s="123"/>
      <c r="X1571" s="123"/>
      <c r="Y1571" s="123"/>
      <c r="Z1571" s="123"/>
      <c r="AA1571" s="123"/>
      <c r="AB1571" s="123"/>
      <c r="AC1571" s="123"/>
      <c r="AD1571" s="123"/>
      <c r="AE1571" s="123"/>
      <c r="AF1571" s="123"/>
      <c r="AG1571" s="123"/>
      <c r="AH1571" s="123"/>
      <c r="AI1571" s="123"/>
      <c r="AJ1571" s="123"/>
      <c r="AK1571" s="123"/>
      <c r="AL1571" s="123"/>
      <c r="AM1571" s="123"/>
      <c r="AN1571" s="123"/>
      <c r="AO1571" s="123"/>
      <c r="AP1571" s="123"/>
      <c r="AQ1571" s="123"/>
      <c r="AR1571" s="123"/>
      <c r="AS1571" s="123"/>
      <c r="AT1571" s="123"/>
      <c r="AU1571" s="123"/>
      <c r="AV1571" s="123"/>
      <c r="AW1571" s="123"/>
      <c r="AX1571" s="123"/>
      <c r="AY1571" s="123"/>
      <c r="AZ1571" s="123"/>
      <c r="BA1571" s="123"/>
      <c r="BB1571" s="123"/>
      <c r="BC1571" s="123"/>
      <c r="BD1571" s="123"/>
      <c r="BE1571" s="123"/>
      <c r="BF1571" s="123"/>
      <c r="BG1571" s="123"/>
      <c r="BH1571" s="123"/>
      <c r="BI1571" s="123"/>
      <c r="BJ1571" s="123"/>
      <c r="BK1571" s="123"/>
      <c r="BL1571" s="123"/>
      <c r="BM1571" s="123"/>
      <c r="BN1571" s="123"/>
      <c r="BO1571" s="123"/>
    </row>
    <row r="1572" spans="1:67" s="156" customFormat="1" ht="40" x14ac:dyDescent="0.35">
      <c r="A1572" s="14" t="s">
        <v>2986</v>
      </c>
      <c r="B1572" s="14" t="s">
        <v>18</v>
      </c>
      <c r="C1572" s="14">
        <v>2025</v>
      </c>
      <c r="D1572" s="14" t="str">
        <f t="array" ref="D1572">_xlfn.SWITCH(E1572,"Bagor","35.18.14","Sukomoro",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2" s="8" t="s">
        <v>50</v>
      </c>
      <c r="F1572" s="14" t="s">
        <v>2903</v>
      </c>
      <c r="G1572" s="139" t="s">
        <v>2904</v>
      </c>
      <c r="H1572" s="8" t="s">
        <v>748</v>
      </c>
      <c r="I1572" s="14" t="s">
        <v>2905</v>
      </c>
      <c r="J1572" s="11">
        <v>5056274</v>
      </c>
      <c r="K1572" s="8" t="s">
        <v>217</v>
      </c>
      <c r="L1572" s="172">
        <v>79239712588</v>
      </c>
      <c r="M1572" s="8"/>
      <c r="N1572" s="174"/>
      <c r="O1572" s="124"/>
      <c r="P1572" s="123"/>
      <c r="Q1572" s="123"/>
      <c r="R1572" s="123"/>
      <c r="S1572" s="123"/>
      <c r="T1572" s="123"/>
      <c r="U1572" s="123"/>
      <c r="V1572" s="123"/>
      <c r="W1572" s="123"/>
      <c r="X1572" s="123"/>
      <c r="Y1572" s="123"/>
      <c r="Z1572" s="123"/>
      <c r="AA1572" s="123"/>
      <c r="AB1572" s="123"/>
      <c r="AC1572" s="123"/>
      <c r="AD1572" s="123"/>
      <c r="AE1572" s="123"/>
      <c r="AF1572" s="123"/>
      <c r="AG1572" s="123"/>
      <c r="AH1572" s="123"/>
      <c r="AI1572" s="123"/>
      <c r="AJ1572" s="123"/>
      <c r="AK1572" s="123"/>
      <c r="AL1572" s="123"/>
      <c r="AM1572" s="123"/>
      <c r="AN1572" s="123"/>
      <c r="AO1572" s="123"/>
      <c r="AP1572" s="123"/>
      <c r="AQ1572" s="123"/>
      <c r="AR1572" s="123"/>
      <c r="AS1572" s="123"/>
      <c r="AT1572" s="123"/>
      <c r="AU1572" s="123"/>
      <c r="AV1572" s="123"/>
      <c r="AW1572" s="123"/>
      <c r="AX1572" s="123"/>
      <c r="AY1572" s="123"/>
      <c r="AZ1572" s="123"/>
      <c r="BA1572" s="123"/>
      <c r="BB1572" s="123"/>
      <c r="BC1572" s="123"/>
      <c r="BD1572" s="123"/>
      <c r="BE1572" s="123"/>
      <c r="BF1572" s="123"/>
      <c r="BG1572" s="123"/>
      <c r="BH1572" s="123"/>
      <c r="BI1572" s="123"/>
      <c r="BJ1572" s="123"/>
      <c r="BK1572" s="123"/>
      <c r="BL1572" s="123"/>
      <c r="BM1572" s="123"/>
      <c r="BN1572" s="123"/>
      <c r="BO1572" s="123"/>
    </row>
    <row r="1573" spans="1:67" s="156" customFormat="1" ht="30" x14ac:dyDescent="0.35">
      <c r="A1573" s="14" t="s">
        <v>2986</v>
      </c>
      <c r="B1573" s="14" t="s">
        <v>18</v>
      </c>
      <c r="C1573" s="14">
        <v>2025</v>
      </c>
      <c r="D1573" s="14" t="str">
        <f t="array" ref="D1573">_xlfn.SWITCH(E1573,"Bagor","35.18.14","Sukomoro",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573" s="8" t="s">
        <v>35</v>
      </c>
      <c r="F1573" s="14" t="s">
        <v>2906</v>
      </c>
      <c r="G1573" s="139" t="s">
        <v>2907</v>
      </c>
      <c r="H1573" s="8" t="s">
        <v>43</v>
      </c>
      <c r="I1573" s="131" t="s">
        <v>2809</v>
      </c>
      <c r="J1573" s="12">
        <v>30000</v>
      </c>
      <c r="K1573" s="8" t="s">
        <v>217</v>
      </c>
      <c r="L1573" s="12">
        <v>16000000000</v>
      </c>
      <c r="M1573" s="8"/>
      <c r="N1573" s="174"/>
      <c r="O1573" s="124"/>
      <c r="P1573" s="123"/>
      <c r="Q1573" s="123"/>
      <c r="R1573" s="123"/>
      <c r="S1573" s="123"/>
      <c r="T1573" s="123"/>
      <c r="U1573" s="123"/>
      <c r="V1573" s="123"/>
      <c r="W1573" s="123"/>
      <c r="X1573" s="123"/>
      <c r="Y1573" s="123"/>
      <c r="Z1573" s="123"/>
      <c r="AA1573" s="123"/>
      <c r="AB1573" s="123"/>
      <c r="AC1573" s="123"/>
      <c r="AD1573" s="123"/>
      <c r="AE1573" s="123"/>
      <c r="AF1573" s="123"/>
      <c r="AG1573" s="123"/>
      <c r="AH1573" s="123"/>
      <c r="AI1573" s="123"/>
      <c r="AJ1573" s="123"/>
      <c r="AK1573" s="123"/>
      <c r="AL1573" s="123"/>
      <c r="AM1573" s="123"/>
      <c r="AN1573" s="123"/>
      <c r="AO1573" s="123"/>
      <c r="AP1573" s="123"/>
      <c r="AQ1573" s="123"/>
      <c r="AR1573" s="123"/>
      <c r="AS1573" s="123"/>
      <c r="AT1573" s="123"/>
      <c r="AU1573" s="123"/>
      <c r="AV1573" s="123"/>
      <c r="AW1573" s="123"/>
      <c r="AX1573" s="123"/>
      <c r="AY1573" s="123"/>
      <c r="AZ1573" s="123"/>
      <c r="BA1573" s="123"/>
      <c r="BB1573" s="123"/>
      <c r="BC1573" s="123"/>
      <c r="BD1573" s="123"/>
      <c r="BE1573" s="123"/>
      <c r="BF1573" s="123"/>
      <c r="BG1573" s="123"/>
      <c r="BH1573" s="123"/>
      <c r="BI1573" s="123"/>
      <c r="BJ1573" s="123"/>
      <c r="BK1573" s="123"/>
      <c r="BL1573" s="123"/>
      <c r="BM1573" s="123"/>
      <c r="BN1573" s="123"/>
      <c r="BO1573" s="123"/>
    </row>
    <row r="1574" spans="1:67" s="156" customFormat="1" ht="40" x14ac:dyDescent="0.35">
      <c r="A1574" s="14" t="s">
        <v>2986</v>
      </c>
      <c r="B1574" s="14" t="s">
        <v>18</v>
      </c>
      <c r="C1574" s="14">
        <v>2025</v>
      </c>
      <c r="D1574" s="14" t="str">
        <f t="array" ref="D1574">_xlfn.SWITCH(E1574,"Jatikalen","35.18.20","Kertosono", "35.18.08","Lengkong","35.18.19","Loceret","35.18.04","Tanjunganom","35.18.11","Wilangan","35.18.15")</f>
        <v>35.18.19</v>
      </c>
      <c r="E1574" s="8" t="s">
        <v>30</v>
      </c>
      <c r="F1574" s="14" t="s">
        <v>2908</v>
      </c>
      <c r="G1574" s="14" t="s">
        <v>2909</v>
      </c>
      <c r="H1574" s="8" t="s">
        <v>43</v>
      </c>
      <c r="I1574" s="14" t="s">
        <v>2910</v>
      </c>
      <c r="J1574" s="11">
        <v>578437</v>
      </c>
      <c r="K1574" s="8" t="s">
        <v>2516</v>
      </c>
      <c r="L1574" s="172">
        <v>17468817000</v>
      </c>
      <c r="M1574" s="8"/>
      <c r="N1574" s="174"/>
      <c r="O1574" s="124"/>
      <c r="P1574" s="123"/>
      <c r="Q1574" s="123"/>
      <c r="R1574" s="123"/>
      <c r="S1574" s="123"/>
      <c r="T1574" s="123"/>
      <c r="U1574" s="123"/>
      <c r="V1574" s="123"/>
      <c r="W1574" s="123"/>
      <c r="X1574" s="123"/>
      <c r="Y1574" s="123"/>
      <c r="Z1574" s="123"/>
      <c r="AA1574" s="123"/>
      <c r="AB1574" s="123"/>
      <c r="AC1574" s="123"/>
      <c r="AD1574" s="123"/>
      <c r="AE1574" s="123"/>
      <c r="AF1574" s="123"/>
      <c r="AG1574" s="123"/>
      <c r="AH1574" s="123"/>
      <c r="AI1574" s="123"/>
      <c r="AJ1574" s="123"/>
      <c r="AK1574" s="123"/>
      <c r="AL1574" s="123"/>
      <c r="AM1574" s="123"/>
      <c r="AN1574" s="123"/>
      <c r="AO1574" s="123"/>
      <c r="AP1574" s="123"/>
      <c r="AQ1574" s="123"/>
      <c r="AR1574" s="123"/>
      <c r="AS1574" s="123"/>
      <c r="AT1574" s="123"/>
      <c r="AU1574" s="123"/>
      <c r="AV1574" s="123"/>
      <c r="AW1574" s="123"/>
      <c r="AX1574" s="123"/>
      <c r="AY1574" s="123"/>
      <c r="AZ1574" s="123"/>
      <c r="BA1574" s="123"/>
      <c r="BB1574" s="123"/>
      <c r="BC1574" s="123"/>
      <c r="BD1574" s="123"/>
      <c r="BE1574" s="123"/>
      <c r="BF1574" s="123"/>
      <c r="BG1574" s="123"/>
      <c r="BH1574" s="123"/>
      <c r="BI1574" s="123"/>
      <c r="BJ1574" s="123"/>
      <c r="BK1574" s="123"/>
      <c r="BL1574" s="123"/>
      <c r="BM1574" s="123"/>
      <c r="BN1574" s="123"/>
      <c r="BO1574" s="123"/>
    </row>
    <row r="1575" spans="1:67" s="156" customFormat="1" ht="50" x14ac:dyDescent="0.35">
      <c r="A1575" s="14" t="s">
        <v>2986</v>
      </c>
      <c r="B1575" s="14" t="s">
        <v>18</v>
      </c>
      <c r="C1575" s="14">
        <v>2025</v>
      </c>
      <c r="D1575" s="14" t="str">
        <f t="array" ref="D1575">_xlfn.SWITCH(E1575,"Bagor","35.18.14","Sukomoro",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5" s="8" t="s">
        <v>50</v>
      </c>
      <c r="F1575" s="14" t="s">
        <v>2911</v>
      </c>
      <c r="G1575" s="139" t="s">
        <v>2912</v>
      </c>
      <c r="H1575" s="8" t="s">
        <v>748</v>
      </c>
      <c r="I1575" s="14" t="s">
        <v>2913</v>
      </c>
      <c r="J1575" s="11">
        <v>3924000</v>
      </c>
      <c r="K1575" s="8" t="s">
        <v>2516</v>
      </c>
      <c r="L1575" s="172">
        <f>8338337845+7063284727+339192856</f>
        <v>15740815428</v>
      </c>
      <c r="M1575" s="8"/>
      <c r="N1575" s="174"/>
      <c r="O1575" s="124"/>
      <c r="P1575" s="123"/>
      <c r="Q1575" s="123"/>
      <c r="R1575" s="123"/>
      <c r="S1575" s="123"/>
      <c r="T1575" s="123"/>
      <c r="U1575" s="123"/>
      <c r="V1575" s="123"/>
      <c r="W1575" s="123"/>
      <c r="X1575" s="123"/>
      <c r="Y1575" s="123"/>
      <c r="Z1575" s="123"/>
      <c r="AA1575" s="123"/>
      <c r="AB1575" s="123"/>
      <c r="AC1575" s="123"/>
      <c r="AD1575" s="123"/>
      <c r="AE1575" s="123"/>
      <c r="AF1575" s="123"/>
      <c r="AG1575" s="123"/>
      <c r="AH1575" s="123"/>
      <c r="AI1575" s="123"/>
      <c r="AJ1575" s="123"/>
      <c r="AK1575" s="123"/>
      <c r="AL1575" s="123"/>
      <c r="AM1575" s="123"/>
      <c r="AN1575" s="123"/>
      <c r="AO1575" s="123"/>
      <c r="AP1575" s="123"/>
      <c r="AQ1575" s="123"/>
      <c r="AR1575" s="123"/>
      <c r="AS1575" s="123"/>
      <c r="AT1575" s="123"/>
      <c r="AU1575" s="123"/>
      <c r="AV1575" s="123"/>
      <c r="AW1575" s="123"/>
      <c r="AX1575" s="123"/>
      <c r="AY1575" s="123"/>
      <c r="AZ1575" s="123"/>
      <c r="BA1575" s="123"/>
      <c r="BB1575" s="123"/>
      <c r="BC1575" s="123"/>
      <c r="BD1575" s="123"/>
      <c r="BE1575" s="123"/>
      <c r="BF1575" s="123"/>
      <c r="BG1575" s="123"/>
      <c r="BH1575" s="123"/>
      <c r="BI1575" s="123"/>
      <c r="BJ1575" s="123"/>
      <c r="BK1575" s="123"/>
      <c r="BL1575" s="123"/>
      <c r="BM1575" s="123"/>
      <c r="BN1575" s="123"/>
      <c r="BO1575" s="123"/>
    </row>
    <row r="1576" spans="1:67" s="156" customFormat="1" ht="40" x14ac:dyDescent="0.35">
      <c r="A1576" s="14" t="s">
        <v>2986</v>
      </c>
      <c r="B1576" s="14" t="s">
        <v>18</v>
      </c>
      <c r="C1576" s="14">
        <v>2025</v>
      </c>
      <c r="D1576" s="14" t="str">
        <f t="array" ref="D1576">_xlfn.SWITCH(E1576,"Bagor","35.18.14","Sukomoro",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6" s="8" t="s">
        <v>98</v>
      </c>
      <c r="F1576" s="14" t="s">
        <v>2914</v>
      </c>
      <c r="G1576" s="14" t="s">
        <v>2915</v>
      </c>
      <c r="H1576" s="8" t="s">
        <v>748</v>
      </c>
      <c r="I1576" s="14" t="s">
        <v>2916</v>
      </c>
      <c r="J1576" s="11">
        <v>500000</v>
      </c>
      <c r="K1576" s="8" t="s">
        <v>217</v>
      </c>
      <c r="L1576" s="172">
        <v>13292500000</v>
      </c>
      <c r="M1576" s="8"/>
      <c r="N1576" s="174"/>
      <c r="O1576" s="124"/>
      <c r="P1576" s="123"/>
      <c r="Q1576" s="123"/>
      <c r="R1576" s="123"/>
      <c r="S1576" s="123"/>
      <c r="T1576" s="123"/>
      <c r="U1576" s="123"/>
      <c r="V1576" s="123"/>
      <c r="W1576" s="123"/>
      <c r="X1576" s="123"/>
      <c r="Y1576" s="123"/>
      <c r="Z1576" s="123"/>
      <c r="AA1576" s="123"/>
      <c r="AB1576" s="123"/>
      <c r="AC1576" s="123"/>
      <c r="AD1576" s="123"/>
      <c r="AE1576" s="123"/>
      <c r="AF1576" s="123"/>
      <c r="AG1576" s="123"/>
      <c r="AH1576" s="123"/>
      <c r="AI1576" s="123"/>
      <c r="AJ1576" s="123"/>
      <c r="AK1576" s="123"/>
      <c r="AL1576" s="123"/>
      <c r="AM1576" s="123"/>
      <c r="AN1576" s="123"/>
      <c r="AO1576" s="123"/>
      <c r="AP1576" s="123"/>
      <c r="AQ1576" s="123"/>
      <c r="AR1576" s="123"/>
      <c r="AS1576" s="123"/>
      <c r="AT1576" s="123"/>
      <c r="AU1576" s="123"/>
      <c r="AV1576" s="123"/>
      <c r="AW1576" s="123"/>
      <c r="AX1576" s="123"/>
      <c r="AY1576" s="123"/>
      <c r="AZ1576" s="123"/>
      <c r="BA1576" s="123"/>
      <c r="BB1576" s="123"/>
      <c r="BC1576" s="123"/>
      <c r="BD1576" s="123"/>
      <c r="BE1576" s="123"/>
      <c r="BF1576" s="123"/>
      <c r="BG1576" s="123"/>
      <c r="BH1576" s="123"/>
      <c r="BI1576" s="123"/>
      <c r="BJ1576" s="123"/>
      <c r="BK1576" s="123"/>
      <c r="BL1576" s="123"/>
      <c r="BM1576" s="123"/>
      <c r="BN1576" s="123"/>
      <c r="BO1576" s="123"/>
    </row>
    <row r="1577" spans="1:67" s="156" customFormat="1" ht="50" x14ac:dyDescent="0.35">
      <c r="A1577" s="14" t="s">
        <v>2986</v>
      </c>
      <c r="B1577" s="14" t="s">
        <v>18</v>
      </c>
      <c r="C1577" s="14">
        <v>2025</v>
      </c>
      <c r="D1577" s="14" t="str">
        <f t="array" ref="D1577">_xlfn.SWITCH(E1577,"Jatikalen","35.18.20","Kertosono", "35.18.08","Lengkong","35.18.19","Loceret","35.18.04","Tanjunganom","35.18.11","Wilangan","35.18.15")</f>
        <v>35.18.19</v>
      </c>
      <c r="E1577" s="8" t="s">
        <v>30</v>
      </c>
      <c r="F1577" s="14" t="s">
        <v>2917</v>
      </c>
      <c r="G1577" s="14" t="s">
        <v>2918</v>
      </c>
      <c r="H1577" s="8" t="s">
        <v>748</v>
      </c>
      <c r="I1577" s="14" t="s">
        <v>2919</v>
      </c>
      <c r="J1577" s="11">
        <f>3862577+16432+20559</f>
        <v>3899568</v>
      </c>
      <c r="K1577" s="8" t="s">
        <v>2920</v>
      </c>
      <c r="L1577" s="172">
        <f>10356608171+1538191653+617777599</f>
        <v>12512577423</v>
      </c>
      <c r="M1577" s="8"/>
      <c r="N1577" s="174"/>
      <c r="O1577" s="124"/>
      <c r="P1577" s="123"/>
      <c r="Q1577" s="123"/>
      <c r="R1577" s="123"/>
      <c r="S1577" s="123"/>
      <c r="T1577" s="123"/>
      <c r="U1577" s="123"/>
      <c r="V1577" s="123"/>
      <c r="W1577" s="123"/>
      <c r="X1577" s="123"/>
      <c r="Y1577" s="123"/>
      <c r="Z1577" s="123"/>
      <c r="AA1577" s="123"/>
      <c r="AB1577" s="123"/>
      <c r="AC1577" s="123"/>
      <c r="AD1577" s="123"/>
      <c r="AE1577" s="123"/>
      <c r="AF1577" s="123"/>
      <c r="AG1577" s="123"/>
      <c r="AH1577" s="123"/>
      <c r="AI1577" s="123"/>
      <c r="AJ1577" s="123"/>
      <c r="AK1577" s="123"/>
      <c r="AL1577" s="123"/>
      <c r="AM1577" s="123"/>
      <c r="AN1577" s="123"/>
      <c r="AO1577" s="123"/>
      <c r="AP1577" s="123"/>
      <c r="AQ1577" s="123"/>
      <c r="AR1577" s="123"/>
      <c r="AS1577" s="123"/>
      <c r="AT1577" s="123"/>
      <c r="AU1577" s="123"/>
      <c r="AV1577" s="123"/>
      <c r="AW1577" s="123"/>
      <c r="AX1577" s="123"/>
      <c r="AY1577" s="123"/>
      <c r="AZ1577" s="123"/>
      <c r="BA1577" s="123"/>
      <c r="BB1577" s="123"/>
      <c r="BC1577" s="123"/>
      <c r="BD1577" s="123"/>
      <c r="BE1577" s="123"/>
      <c r="BF1577" s="123"/>
      <c r="BG1577" s="123"/>
      <c r="BH1577" s="123"/>
      <c r="BI1577" s="123"/>
      <c r="BJ1577" s="123"/>
      <c r="BK1577" s="123"/>
      <c r="BL1577" s="123"/>
      <c r="BM1577" s="123"/>
      <c r="BN1577" s="123"/>
      <c r="BO1577" s="123"/>
    </row>
    <row r="1578" spans="1:67" s="156" customFormat="1" ht="40" x14ac:dyDescent="0.35">
      <c r="A1578" s="14" t="s">
        <v>2986</v>
      </c>
      <c r="B1578" s="14" t="s">
        <v>18</v>
      </c>
      <c r="C1578" s="14">
        <v>2025</v>
      </c>
      <c r="D1578" s="14" t="str">
        <f t="array" ref="D1578">_xlfn.SWITCH(E1578,"Bagor","35.18.14","Sukomoro",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78" s="8" t="s">
        <v>91</v>
      </c>
      <c r="F1578" s="14" t="s">
        <v>2921</v>
      </c>
      <c r="G1578" s="14" t="s">
        <v>2922</v>
      </c>
      <c r="H1578" s="8" t="s">
        <v>748</v>
      </c>
      <c r="I1578" s="14" t="s">
        <v>2923</v>
      </c>
      <c r="J1578" s="11">
        <v>3828700</v>
      </c>
      <c r="K1578" s="8" t="s">
        <v>217</v>
      </c>
      <c r="L1578" s="172">
        <v>57430500000</v>
      </c>
      <c r="M1578" s="8"/>
      <c r="N1578" s="174"/>
      <c r="O1578" s="124"/>
      <c r="P1578" s="123"/>
      <c r="Q1578" s="123"/>
      <c r="R1578" s="123"/>
      <c r="S1578" s="123"/>
      <c r="T1578" s="123"/>
      <c r="U1578" s="123"/>
      <c r="V1578" s="123"/>
      <c r="W1578" s="123"/>
      <c r="X1578" s="123"/>
      <c r="Y1578" s="123"/>
      <c r="Z1578" s="123"/>
      <c r="AA1578" s="123"/>
      <c r="AB1578" s="123"/>
      <c r="AC1578" s="123"/>
      <c r="AD1578" s="123"/>
      <c r="AE1578" s="123"/>
      <c r="AF1578" s="123"/>
      <c r="AG1578" s="123"/>
      <c r="AH1578" s="123"/>
      <c r="AI1578" s="123"/>
      <c r="AJ1578" s="123"/>
      <c r="AK1578" s="123"/>
      <c r="AL1578" s="123"/>
      <c r="AM1578" s="123"/>
      <c r="AN1578" s="123"/>
      <c r="AO1578" s="123"/>
      <c r="AP1578" s="123"/>
      <c r="AQ1578" s="123"/>
      <c r="AR1578" s="123"/>
      <c r="AS1578" s="123"/>
      <c r="AT1578" s="123"/>
      <c r="AU1578" s="123"/>
      <c r="AV1578" s="123"/>
      <c r="AW1578" s="123"/>
      <c r="AX1578" s="123"/>
      <c r="AY1578" s="123"/>
      <c r="AZ1578" s="123"/>
      <c r="BA1578" s="123"/>
      <c r="BB1578" s="123"/>
      <c r="BC1578" s="123"/>
      <c r="BD1578" s="123"/>
      <c r="BE1578" s="123"/>
      <c r="BF1578" s="123"/>
      <c r="BG1578" s="123"/>
      <c r="BH1578" s="123"/>
      <c r="BI1578" s="123"/>
      <c r="BJ1578" s="123"/>
      <c r="BK1578" s="123"/>
      <c r="BL1578" s="123"/>
      <c r="BM1578" s="123"/>
      <c r="BN1578" s="123"/>
      <c r="BO1578" s="123"/>
    </row>
    <row r="1579" spans="1:67" s="156" customFormat="1" ht="60" x14ac:dyDescent="0.35">
      <c r="A1579" s="14" t="s">
        <v>2986</v>
      </c>
      <c r="B1579" s="14" t="s">
        <v>18</v>
      </c>
      <c r="C1579" s="14">
        <v>2025</v>
      </c>
      <c r="D1579" s="14" t="str">
        <f t="array" ref="D1579">_xlfn.SWITCH(E1579,"Bagor","35.18.14","Sukomoro",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79" s="8" t="s">
        <v>65</v>
      </c>
      <c r="F1579" s="14" t="s">
        <v>2924</v>
      </c>
      <c r="G1579" s="14" t="s">
        <v>2925</v>
      </c>
      <c r="H1579" s="8" t="s">
        <v>748</v>
      </c>
      <c r="I1579" s="14" t="s">
        <v>2926</v>
      </c>
      <c r="J1579" s="179">
        <v>7204464</v>
      </c>
      <c r="K1579" s="8" t="s">
        <v>217</v>
      </c>
      <c r="L1579" s="172">
        <v>245568612718</v>
      </c>
      <c r="M1579" s="8"/>
      <c r="N1579" s="174"/>
      <c r="O1579" s="124"/>
      <c r="P1579" s="123"/>
      <c r="Q1579" s="123"/>
      <c r="R1579" s="123"/>
      <c r="S1579" s="123"/>
      <c r="T1579" s="123"/>
      <c r="U1579" s="123"/>
      <c r="V1579" s="123"/>
      <c r="W1579" s="123"/>
      <c r="X1579" s="123"/>
      <c r="Y1579" s="123"/>
      <c r="Z1579" s="123"/>
      <c r="AA1579" s="123"/>
      <c r="AB1579" s="123"/>
      <c r="AC1579" s="123"/>
      <c r="AD1579" s="123"/>
      <c r="AE1579" s="123"/>
      <c r="AF1579" s="123"/>
      <c r="AG1579" s="123"/>
      <c r="AH1579" s="123"/>
      <c r="AI1579" s="123"/>
      <c r="AJ1579" s="123"/>
      <c r="AK1579" s="123"/>
      <c r="AL1579" s="123"/>
      <c r="AM1579" s="123"/>
      <c r="AN1579" s="123"/>
      <c r="AO1579" s="123"/>
      <c r="AP1579" s="123"/>
      <c r="AQ1579" s="123"/>
      <c r="AR1579" s="123"/>
      <c r="AS1579" s="123"/>
      <c r="AT1579" s="123"/>
      <c r="AU1579" s="123"/>
      <c r="AV1579" s="123"/>
      <c r="AW1579" s="123"/>
      <c r="AX1579" s="123"/>
      <c r="AY1579" s="123"/>
      <c r="AZ1579" s="123"/>
      <c r="BA1579" s="123"/>
      <c r="BB1579" s="123"/>
      <c r="BC1579" s="123"/>
      <c r="BD1579" s="123"/>
      <c r="BE1579" s="123"/>
      <c r="BF1579" s="123"/>
      <c r="BG1579" s="123"/>
      <c r="BH1579" s="123"/>
      <c r="BI1579" s="123"/>
      <c r="BJ1579" s="123"/>
      <c r="BK1579" s="123"/>
      <c r="BL1579" s="123"/>
      <c r="BM1579" s="123"/>
      <c r="BN1579" s="123"/>
      <c r="BO1579" s="123"/>
    </row>
    <row r="1580" spans="1:67" s="156" customFormat="1" ht="30" x14ac:dyDescent="0.35">
      <c r="A1580" s="14" t="s">
        <v>2986</v>
      </c>
      <c r="B1580" s="14" t="s">
        <v>18</v>
      </c>
      <c r="C1580" s="14">
        <v>2025</v>
      </c>
      <c r="D1580" s="14" t="str">
        <f t="array" ref="D1580">_xlfn.SWITCH(E1580,"Bagor","35.18.14","Sukomoro",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80" s="8" t="s">
        <v>98</v>
      </c>
      <c r="F1580" s="14" t="s">
        <v>2927</v>
      </c>
      <c r="G1580" s="139" t="s">
        <v>2928</v>
      </c>
      <c r="H1580" s="8" t="s">
        <v>748</v>
      </c>
      <c r="I1580" s="14" t="s">
        <v>2929</v>
      </c>
      <c r="J1580" s="180">
        <v>54247.27</v>
      </c>
      <c r="K1580" s="8" t="s">
        <v>217</v>
      </c>
      <c r="L1580" s="172">
        <v>73877516237</v>
      </c>
      <c r="M1580" s="8"/>
      <c r="N1580" s="174"/>
      <c r="O1580" s="124"/>
      <c r="P1580" s="123"/>
      <c r="Q1580" s="123"/>
      <c r="R1580" s="123"/>
      <c r="S1580" s="123"/>
      <c r="T1580" s="123"/>
      <c r="U1580" s="123"/>
      <c r="V1580" s="123"/>
      <c r="W1580" s="123"/>
      <c r="X1580" s="123"/>
      <c r="Y1580" s="123"/>
      <c r="Z1580" s="123"/>
      <c r="AA1580" s="123"/>
      <c r="AB1580" s="123"/>
      <c r="AC1580" s="123"/>
      <c r="AD1580" s="123"/>
      <c r="AE1580" s="123"/>
      <c r="AF1580" s="123"/>
      <c r="AG1580" s="123"/>
      <c r="AH1580" s="123"/>
      <c r="AI1580" s="123"/>
      <c r="AJ1580" s="123"/>
      <c r="AK1580" s="123"/>
      <c r="AL1580" s="123"/>
      <c r="AM1580" s="123"/>
      <c r="AN1580" s="123"/>
      <c r="AO1580" s="123"/>
      <c r="AP1580" s="123"/>
      <c r="AQ1580" s="123"/>
      <c r="AR1580" s="123"/>
      <c r="AS1580" s="123"/>
      <c r="AT1580" s="123"/>
      <c r="AU1580" s="123"/>
      <c r="AV1580" s="123"/>
      <c r="AW1580" s="123"/>
      <c r="AX1580" s="123"/>
      <c r="AY1580" s="123"/>
      <c r="AZ1580" s="123"/>
      <c r="BA1580" s="123"/>
      <c r="BB1580" s="123"/>
      <c r="BC1580" s="123"/>
      <c r="BD1580" s="123"/>
      <c r="BE1580" s="123"/>
      <c r="BF1580" s="123"/>
      <c r="BG1580" s="123"/>
      <c r="BH1580" s="123"/>
      <c r="BI1580" s="123"/>
      <c r="BJ1580" s="123"/>
      <c r="BK1580" s="123"/>
      <c r="BL1580" s="123"/>
      <c r="BM1580" s="123"/>
      <c r="BN1580" s="123"/>
      <c r="BO1580" s="123"/>
    </row>
    <row r="1581" spans="1:67" s="156" customFormat="1" ht="70" x14ac:dyDescent="0.35">
      <c r="A1581" s="14" t="s">
        <v>2986</v>
      </c>
      <c r="B1581" s="14" t="s">
        <v>18</v>
      </c>
      <c r="C1581" s="14">
        <v>2025</v>
      </c>
      <c r="D1581" s="14" t="str">
        <f t="array" ref="D1581">_xlfn.SWITCH(E1581,"Jatikalen","35.18.20","Kertosono", "35.18.08","Lengkong","35.18.19","Loceret","35.18.04","Tanjunganom","35.18.11","Wilangan","35.18.15")</f>
        <v>35.18.20</v>
      </c>
      <c r="E1581" s="8" t="s">
        <v>801</v>
      </c>
      <c r="F1581" s="14" t="s">
        <v>2930</v>
      </c>
      <c r="G1581" s="139" t="s">
        <v>2931</v>
      </c>
      <c r="H1581" s="8" t="s">
        <v>748</v>
      </c>
      <c r="I1581" s="14" t="s">
        <v>2932</v>
      </c>
      <c r="J1581" s="11">
        <v>1500000</v>
      </c>
      <c r="K1581" s="8" t="s">
        <v>700</v>
      </c>
      <c r="L1581" s="172">
        <f>J1581*5000</f>
        <v>7500000000</v>
      </c>
      <c r="M1581" s="8"/>
      <c r="N1581" s="174"/>
      <c r="O1581" s="124"/>
      <c r="P1581" s="123"/>
      <c r="Q1581" s="123"/>
      <c r="R1581" s="123"/>
      <c r="S1581" s="123"/>
      <c r="T1581" s="123"/>
      <c r="U1581" s="123"/>
      <c r="V1581" s="123"/>
      <c r="W1581" s="123"/>
      <c r="X1581" s="123"/>
      <c r="Y1581" s="123"/>
      <c r="Z1581" s="123"/>
      <c r="AA1581" s="123"/>
      <c r="AB1581" s="123"/>
      <c r="AC1581" s="123"/>
      <c r="AD1581" s="123"/>
      <c r="AE1581" s="123"/>
      <c r="AF1581" s="123"/>
      <c r="AG1581" s="123"/>
      <c r="AH1581" s="123"/>
      <c r="AI1581" s="123"/>
      <c r="AJ1581" s="123"/>
      <c r="AK1581" s="123"/>
      <c r="AL1581" s="123"/>
      <c r="AM1581" s="123"/>
      <c r="AN1581" s="123"/>
      <c r="AO1581" s="123"/>
      <c r="AP1581" s="123"/>
      <c r="AQ1581" s="123"/>
      <c r="AR1581" s="123"/>
      <c r="AS1581" s="123"/>
      <c r="AT1581" s="123"/>
      <c r="AU1581" s="123"/>
      <c r="AV1581" s="123"/>
      <c r="AW1581" s="123"/>
      <c r="AX1581" s="123"/>
      <c r="AY1581" s="123"/>
      <c r="AZ1581" s="123"/>
      <c r="BA1581" s="123"/>
      <c r="BB1581" s="123"/>
      <c r="BC1581" s="123"/>
      <c r="BD1581" s="123"/>
      <c r="BE1581" s="123"/>
      <c r="BF1581" s="123"/>
      <c r="BG1581" s="123"/>
      <c r="BH1581" s="123"/>
      <c r="BI1581" s="123"/>
      <c r="BJ1581" s="123"/>
      <c r="BK1581" s="123"/>
      <c r="BL1581" s="123"/>
      <c r="BM1581" s="123"/>
      <c r="BN1581" s="123"/>
      <c r="BO1581" s="123"/>
    </row>
    <row r="1582" spans="1:67" ht="40" x14ac:dyDescent="0.2">
      <c r="A1582" s="14" t="s">
        <v>2986</v>
      </c>
      <c r="B1582" s="14" t="s">
        <v>18</v>
      </c>
      <c r="C1582" s="14">
        <v>2025</v>
      </c>
      <c r="D1582" s="14" t="str">
        <f t="array" ref="D1582">_xlfn.SWITCH(E1582,"Jatikalen","35.18.20","Kertosono", "35.18.08","Lengkong","35.18.19","Loceret","35.18.04","Tanjunganom","35.18.11","Wilangan","35.18.15")</f>
        <v>35.18.08</v>
      </c>
      <c r="E1582" s="8" t="s">
        <v>75</v>
      </c>
      <c r="F1582" s="14" t="s">
        <v>2933</v>
      </c>
      <c r="G1582" s="14" t="s">
        <v>2934</v>
      </c>
      <c r="H1582" s="8" t="s">
        <v>748</v>
      </c>
      <c r="I1582" s="14" t="s">
        <v>2935</v>
      </c>
      <c r="J1582" s="11">
        <v>17100</v>
      </c>
      <c r="K1582" s="8" t="s">
        <v>730</v>
      </c>
      <c r="L1582" s="172">
        <v>85725000000</v>
      </c>
      <c r="M1582" s="3"/>
      <c r="O1582" s="2"/>
    </row>
    <row r="1583" spans="1:67" ht="40" x14ac:dyDescent="0.2">
      <c r="A1583" s="14" t="s">
        <v>2986</v>
      </c>
      <c r="B1583" s="14" t="s">
        <v>18</v>
      </c>
      <c r="C1583" s="14">
        <v>2025</v>
      </c>
      <c r="D1583" s="14" t="str">
        <f t="array" ref="D1583">_xlfn.SWITCH(E1583,"Bagor","35.18.14","Sukomoro",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3" s="8" t="s">
        <v>57</v>
      </c>
      <c r="F1583" s="14" t="s">
        <v>2936</v>
      </c>
      <c r="G1583" s="14" t="s">
        <v>2937</v>
      </c>
      <c r="H1583" s="8" t="s">
        <v>748</v>
      </c>
      <c r="I1583" s="14" t="s">
        <v>2938</v>
      </c>
      <c r="J1583" s="11">
        <v>214657</v>
      </c>
      <c r="K1583" s="8" t="s">
        <v>2516</v>
      </c>
      <c r="L1583" s="172">
        <v>635035380000</v>
      </c>
      <c r="M1583" s="3"/>
      <c r="O1583" s="2"/>
    </row>
    <row r="1584" spans="1:67" ht="50" x14ac:dyDescent="0.2">
      <c r="A1584" s="14" t="s">
        <v>2986</v>
      </c>
      <c r="B1584" s="14" t="s">
        <v>18</v>
      </c>
      <c r="C1584" s="14">
        <v>2025</v>
      </c>
      <c r="D1584" s="14" t="str">
        <f t="array" ref="D1584">_xlfn.SWITCH(E1584,"Bagor","35.18.14","Sukomoro",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4" s="8" t="s">
        <v>18</v>
      </c>
      <c r="F1584" s="14" t="s">
        <v>2939</v>
      </c>
      <c r="G1584" s="14" t="s">
        <v>2940</v>
      </c>
      <c r="H1584" s="8" t="s">
        <v>9</v>
      </c>
      <c r="I1584" s="14" t="s">
        <v>2941</v>
      </c>
      <c r="J1584" s="11">
        <v>40</v>
      </c>
      <c r="K1584" s="8" t="s">
        <v>700</v>
      </c>
      <c r="L1584" s="172">
        <v>9500000</v>
      </c>
      <c r="M1584" s="3"/>
      <c r="O1584" s="2"/>
    </row>
    <row r="1585" spans="1:15" ht="50" x14ac:dyDescent="0.2">
      <c r="A1585" s="14" t="s">
        <v>2986</v>
      </c>
      <c r="B1585" s="14" t="s">
        <v>18</v>
      </c>
      <c r="C1585" s="14">
        <v>2025</v>
      </c>
      <c r="D1585" s="14" t="str">
        <f t="array" ref="D1585">_xlfn.SWITCH(E1585,"Bagor","35.18.14","Sukomoro",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5" s="8" t="s">
        <v>57</v>
      </c>
      <c r="F1585" s="14" t="s">
        <v>2942</v>
      </c>
      <c r="G1585" s="14" t="s">
        <v>2943</v>
      </c>
      <c r="H1585" s="8" t="s">
        <v>748</v>
      </c>
      <c r="I1585" s="14" t="s">
        <v>2944</v>
      </c>
      <c r="J1585" s="11">
        <v>127674</v>
      </c>
      <c r="K1585" s="8" t="s">
        <v>2945</v>
      </c>
      <c r="L1585" s="172">
        <v>16140787400</v>
      </c>
      <c r="M1585" s="3"/>
      <c r="O1585" s="2"/>
    </row>
    <row r="1586" spans="1:15" ht="40" x14ac:dyDescent="0.2">
      <c r="A1586" s="14" t="s">
        <v>2986</v>
      </c>
      <c r="B1586" s="14" t="s">
        <v>18</v>
      </c>
      <c r="C1586" s="14">
        <v>2025</v>
      </c>
      <c r="D1586" s="14" t="str">
        <f t="array" ref="D1586">_xlfn.SWITCH(E1586,"Jatikalen","35.18.20","Kertosono", "35.18.08","Lengkong","35.18.19","Loceret","35.18.04","Tanjunganom","35.18.11","Wilangan","35.18.15")</f>
        <v>35.18.19</v>
      </c>
      <c r="E1586" s="8" t="s">
        <v>30</v>
      </c>
      <c r="F1586" s="14" t="s">
        <v>2946</v>
      </c>
      <c r="G1586" s="14" t="s">
        <v>2947</v>
      </c>
      <c r="H1586" s="8" t="s">
        <v>748</v>
      </c>
      <c r="I1586" s="14" t="s">
        <v>2948</v>
      </c>
      <c r="J1586" s="11">
        <v>105360</v>
      </c>
      <c r="K1586" s="8" t="s">
        <v>2349</v>
      </c>
      <c r="L1586" s="172">
        <v>9633156700</v>
      </c>
      <c r="M1586" s="3"/>
      <c r="O1586" s="2"/>
    </row>
    <row r="1587" spans="1:15" ht="40" x14ac:dyDescent="0.2">
      <c r="A1587" s="14" t="s">
        <v>2986</v>
      </c>
      <c r="B1587" s="14" t="s">
        <v>18</v>
      </c>
      <c r="C1587" s="14">
        <v>2025</v>
      </c>
      <c r="D1587" s="14" t="str">
        <f t="array" ref="D1587">_xlfn.SWITCH(E1587,"Bagor","35.18.14","Sukomoro",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87" s="8" t="s">
        <v>7</v>
      </c>
      <c r="F1587" s="14" t="s">
        <v>2949</v>
      </c>
      <c r="G1587" s="14" t="s">
        <v>2950</v>
      </c>
      <c r="H1587" s="8" t="s">
        <v>748</v>
      </c>
      <c r="I1587" s="14" t="s">
        <v>2951</v>
      </c>
      <c r="J1587" s="11">
        <v>215917</v>
      </c>
      <c r="K1587" s="8" t="s">
        <v>217</v>
      </c>
      <c r="L1587" s="172">
        <v>86804091200</v>
      </c>
      <c r="M1587" s="3"/>
      <c r="O1587" s="2"/>
    </row>
    <row r="1588" spans="1:15" ht="40" x14ac:dyDescent="0.2">
      <c r="A1588" s="14" t="s">
        <v>2986</v>
      </c>
      <c r="B1588" s="14" t="s">
        <v>18</v>
      </c>
      <c r="C1588" s="14">
        <v>2025</v>
      </c>
      <c r="D1588" s="14" t="str">
        <f t="array" ref="D1588">_xlfn.SWITCH(E1588,"Jatikalen","35.18.20","Kertosono", "35.18.08","Lengkong","35.18.19","Loceret","35.18.04","Tanjunganom","35.18.11","Wilangan","35.18.15")</f>
        <v>35.18.20</v>
      </c>
      <c r="E1588" s="8" t="s">
        <v>801</v>
      </c>
      <c r="F1588" s="14" t="s">
        <v>2952</v>
      </c>
      <c r="G1588" s="14" t="s">
        <v>2953</v>
      </c>
      <c r="H1588" s="8" t="s">
        <v>748</v>
      </c>
      <c r="I1588" s="14" t="s">
        <v>2948</v>
      </c>
      <c r="J1588" s="11">
        <v>330000</v>
      </c>
      <c r="K1588" s="8" t="s">
        <v>217</v>
      </c>
      <c r="L1588" s="172">
        <v>97550000000</v>
      </c>
      <c r="M1588" s="3"/>
      <c r="O1588" s="2"/>
    </row>
    <row r="1589" spans="1:15" ht="50" x14ac:dyDescent="0.2">
      <c r="A1589" s="14" t="s">
        <v>2986</v>
      </c>
      <c r="B1589" s="14" t="s">
        <v>18</v>
      </c>
      <c r="C1589" s="14">
        <v>2025</v>
      </c>
      <c r="D1589" s="14" t="str">
        <f t="array" ref="D1589">_xlfn.SWITCH(E1589,"Bagor","35.18.14","Sukomoro",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89" s="8" t="s">
        <v>119</v>
      </c>
      <c r="F1589" s="14" t="s">
        <v>2954</v>
      </c>
      <c r="G1589" s="14" t="s">
        <v>2955</v>
      </c>
      <c r="H1589" s="8" t="s">
        <v>748</v>
      </c>
      <c r="I1589" s="14" t="s">
        <v>2956</v>
      </c>
      <c r="J1589" s="11">
        <v>415200</v>
      </c>
      <c r="K1589" s="8" t="s">
        <v>2349</v>
      </c>
      <c r="L1589" s="172">
        <v>412689530400</v>
      </c>
      <c r="M1589" s="3"/>
      <c r="O1589" s="2"/>
    </row>
    <row r="1590" spans="1:15" ht="40" x14ac:dyDescent="0.2">
      <c r="A1590" s="14" t="s">
        <v>2986</v>
      </c>
      <c r="B1590" s="14" t="s">
        <v>18</v>
      </c>
      <c r="C1590" s="14">
        <v>2025</v>
      </c>
      <c r="D1590" s="14" t="str">
        <f t="array" ref="D1590">_xlfn.SWITCH(E1590,"Bagor","35.18.14","Sukomoro",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0" s="8" t="s">
        <v>57</v>
      </c>
      <c r="F1590" s="14" t="s">
        <v>2804</v>
      </c>
      <c r="G1590" s="14" t="s">
        <v>2957</v>
      </c>
      <c r="H1590" s="8" t="s">
        <v>748</v>
      </c>
      <c r="I1590" s="14" t="s">
        <v>2958</v>
      </c>
      <c r="J1590" s="11">
        <v>180</v>
      </c>
      <c r="K1590" s="8" t="s">
        <v>1120</v>
      </c>
      <c r="L1590" s="172">
        <v>1208000000</v>
      </c>
      <c r="M1590" s="3"/>
      <c r="O1590" s="2"/>
    </row>
    <row r="1591" spans="1:15" ht="40" x14ac:dyDescent="0.2">
      <c r="A1591" s="14" t="s">
        <v>2986</v>
      </c>
      <c r="B1591" s="14" t="s">
        <v>18</v>
      </c>
      <c r="C1591" s="14">
        <v>2025</v>
      </c>
      <c r="D1591" s="14" t="str">
        <f t="array" ref="D1591">_xlfn.SWITCH(E1591,"Jatikalen","35.18.20","Kertosono", "35.18.08","Lengkong","35.18.19","Loceret","35.18.04","Tanjunganom","35.18.11","Wilangan","35.18.15")</f>
        <v>35.18.08</v>
      </c>
      <c r="E1591" s="8" t="s">
        <v>75</v>
      </c>
      <c r="F1591" s="14" t="s">
        <v>2959</v>
      </c>
      <c r="G1591" s="14" t="s">
        <v>2960</v>
      </c>
      <c r="H1591" s="8" t="s">
        <v>748</v>
      </c>
      <c r="I1591" s="14" t="s">
        <v>2961</v>
      </c>
      <c r="J1591" s="11">
        <v>520000</v>
      </c>
      <c r="K1591" s="8" t="s">
        <v>730</v>
      </c>
      <c r="L1591" s="172">
        <f>J1591*652000</f>
        <v>339040000000</v>
      </c>
    </row>
    <row r="1592" spans="1:15" ht="30" x14ac:dyDescent="0.2">
      <c r="A1592" s="14" t="s">
        <v>2986</v>
      </c>
      <c r="B1592" s="14" t="s">
        <v>18</v>
      </c>
      <c r="C1592" s="14">
        <v>2025</v>
      </c>
      <c r="D1592" s="14" t="str">
        <f t="array" ref="D1592">_xlfn.SWITCH(E1592,"Bagor","35.18.14","Sukomoro",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2" s="8" t="s">
        <v>119</v>
      </c>
      <c r="F1592" s="14" t="s">
        <v>2962</v>
      </c>
      <c r="G1592" s="14" t="s">
        <v>2963</v>
      </c>
      <c r="H1592" s="8" t="s">
        <v>748</v>
      </c>
      <c r="I1592" s="14" t="s">
        <v>2964</v>
      </c>
      <c r="J1592" s="11">
        <v>9216000</v>
      </c>
      <c r="K1592" s="8" t="s">
        <v>1120</v>
      </c>
      <c r="L1592" s="172">
        <v>650000000</v>
      </c>
    </row>
    <row r="1593" spans="1:15" ht="40" x14ac:dyDescent="0.2">
      <c r="A1593" s="14" t="s">
        <v>2986</v>
      </c>
      <c r="B1593" s="14" t="s">
        <v>18</v>
      </c>
      <c r="C1593" s="14">
        <v>2025</v>
      </c>
      <c r="D1593" s="14" t="str">
        <f t="array" ref="D1593">_xlfn.SWITCH(E1593,"Bagor","35.18.14","Sukomoro",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3" s="8" t="s">
        <v>18</v>
      </c>
      <c r="F1593" s="14" t="s">
        <v>2965</v>
      </c>
      <c r="G1593" s="14" t="s">
        <v>2966</v>
      </c>
      <c r="H1593" s="8" t="s">
        <v>2479</v>
      </c>
      <c r="I1593" s="14" t="s">
        <v>2417</v>
      </c>
      <c r="J1593" s="11">
        <v>10</v>
      </c>
      <c r="K1593" s="8" t="s">
        <v>2920</v>
      </c>
      <c r="L1593" s="172">
        <v>3000000</v>
      </c>
    </row>
    <row r="1594" spans="1:15" ht="30" x14ac:dyDescent="0.2">
      <c r="A1594" s="14" t="s">
        <v>2986</v>
      </c>
      <c r="B1594" s="14" t="s">
        <v>18</v>
      </c>
      <c r="C1594" s="14">
        <v>2025</v>
      </c>
      <c r="D1594" s="14" t="str">
        <f t="array" ref="D1594">_xlfn.SWITCH(E1594,"Bagor","35.18.14","Sukomoro",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94" s="8" t="s">
        <v>91</v>
      </c>
      <c r="F1594" s="14" t="s">
        <v>2967</v>
      </c>
      <c r="G1594" s="14" t="s">
        <v>2968</v>
      </c>
      <c r="H1594" s="8" t="s">
        <v>2479</v>
      </c>
      <c r="I1594" s="14" t="s">
        <v>1229</v>
      </c>
      <c r="J1594" s="11">
        <v>60000</v>
      </c>
      <c r="K1594" s="8" t="s">
        <v>2920</v>
      </c>
      <c r="L1594" s="172">
        <f>J1594*13000</f>
        <v>780000000</v>
      </c>
    </row>
    <row r="1595" spans="1:15" ht="30" x14ac:dyDescent="0.2">
      <c r="A1595" s="14" t="s">
        <v>2986</v>
      </c>
      <c r="B1595" s="14" t="s">
        <v>18</v>
      </c>
      <c r="C1595" s="14">
        <v>2025</v>
      </c>
      <c r="D1595" s="14" t="str">
        <f t="array" ref="D1595">_xlfn.SWITCH(E1595,"Bagor","35.18.14","Sukomoro",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5" s="8" t="s">
        <v>57</v>
      </c>
      <c r="F1595" s="14" t="s">
        <v>2969</v>
      </c>
      <c r="G1595" s="14" t="s">
        <v>2970</v>
      </c>
      <c r="H1595" s="8" t="s">
        <v>748</v>
      </c>
      <c r="I1595" s="14" t="s">
        <v>2964</v>
      </c>
      <c r="J1595" s="11">
        <v>354864</v>
      </c>
      <c r="K1595" s="8" t="s">
        <v>2920</v>
      </c>
      <c r="L1595" s="172">
        <f>J1595*74000*12</f>
        <v>315119232000</v>
      </c>
    </row>
    <row r="1596" spans="1:15" ht="40" x14ac:dyDescent="0.2">
      <c r="A1596" s="14" t="s">
        <v>2986</v>
      </c>
      <c r="B1596" s="14" t="s">
        <v>18</v>
      </c>
      <c r="C1596" s="14">
        <v>2025</v>
      </c>
      <c r="D1596" s="14" t="str">
        <f t="array" ref="D1596">_xlfn.SWITCH(E1596,"Bagor","35.18.14","Sukomoro",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6" s="8" t="s">
        <v>119</v>
      </c>
      <c r="F1596" s="14" t="s">
        <v>2971</v>
      </c>
      <c r="G1596" s="14" t="s">
        <v>2972</v>
      </c>
      <c r="H1596" s="8" t="s">
        <v>748</v>
      </c>
      <c r="I1596" s="14" t="s">
        <v>2973</v>
      </c>
      <c r="J1596" s="11">
        <v>180000</v>
      </c>
      <c r="K1596" s="8" t="s">
        <v>2349</v>
      </c>
      <c r="L1596" s="172">
        <f>J1596*1500000</f>
        <v>270000000000</v>
      </c>
    </row>
    <row r="1597" spans="1:15" ht="40" x14ac:dyDescent="0.2">
      <c r="A1597" s="14" t="s">
        <v>2986</v>
      </c>
      <c r="B1597" s="14" t="s">
        <v>18</v>
      </c>
      <c r="C1597" s="14">
        <v>2025</v>
      </c>
      <c r="D1597" s="14" t="str">
        <f t="array" ref="D1597">_xlfn.SWITCH(E1597,"Bagor","35.18.14","Sukomoro",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97" s="8" t="s">
        <v>7</v>
      </c>
      <c r="F1597" s="14" t="s">
        <v>2974</v>
      </c>
      <c r="G1597" s="14" t="s">
        <v>2975</v>
      </c>
      <c r="H1597" s="8" t="s">
        <v>2479</v>
      </c>
      <c r="I1597" s="14" t="s">
        <v>2976</v>
      </c>
      <c r="J1597" s="11">
        <v>550</v>
      </c>
      <c r="K1597" s="8" t="s">
        <v>2349</v>
      </c>
      <c r="L1597" s="172">
        <v>11250000</v>
      </c>
    </row>
    <row r="1598" spans="1:15" ht="40" x14ac:dyDescent="0.2">
      <c r="A1598" s="14" t="s">
        <v>2986</v>
      </c>
      <c r="B1598" s="14" t="s">
        <v>18</v>
      </c>
      <c r="C1598" s="14">
        <v>2025</v>
      </c>
      <c r="D1598" s="14" t="str">
        <f t="array" ref="D1598">_xlfn.SWITCH(E1598,"Jatikalen","35.18.20","Kertosono", "35.18.08","Lengkong","35.18.19","Loceret","35.18.04","Tanjunganom","35.18.11","Wilangan","35.18.15")</f>
        <v>35.18.19</v>
      </c>
      <c r="E1598" s="8" t="s">
        <v>30</v>
      </c>
      <c r="F1598" s="14" t="s">
        <v>2977</v>
      </c>
      <c r="G1598" s="14" t="s">
        <v>2978</v>
      </c>
      <c r="H1598" s="8" t="s">
        <v>748</v>
      </c>
      <c r="I1598" s="14" t="s">
        <v>2979</v>
      </c>
      <c r="J1598" s="181">
        <v>80196480</v>
      </c>
      <c r="K1598" s="8" t="s">
        <v>2583</v>
      </c>
      <c r="L1598" s="172">
        <v>220621351000</v>
      </c>
    </row>
    <row r="1599" spans="1:15" ht="30" x14ac:dyDescent="0.2">
      <c r="A1599" s="14" t="s">
        <v>2986</v>
      </c>
      <c r="B1599" s="14" t="s">
        <v>18</v>
      </c>
      <c r="C1599" s="14">
        <v>2025</v>
      </c>
      <c r="D1599" s="95" t="str">
        <f t="array" ref="D1599">_xlfn.SWITCH(E1599,"Bagor","35.18.14","Sukomoro",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99" s="167" t="s">
        <v>65</v>
      </c>
      <c r="F1599" s="95" t="s">
        <v>2980</v>
      </c>
      <c r="G1599" s="95" t="s">
        <v>2981</v>
      </c>
      <c r="H1599" s="8" t="s">
        <v>748</v>
      </c>
      <c r="I1599" s="95" t="s">
        <v>2982</v>
      </c>
      <c r="J1599" s="182">
        <v>2018131</v>
      </c>
      <c r="K1599" s="167" t="s">
        <v>2920</v>
      </c>
      <c r="L1599" s="183">
        <v>253722869300</v>
      </c>
    </row>
    <row r="1600" spans="1:15" ht="17.25" customHeight="1" x14ac:dyDescent="0.2">
      <c r="A1600" s="191" t="s">
        <v>0</v>
      </c>
      <c r="B1600" s="191"/>
      <c r="C1600" s="191"/>
      <c r="D1600" s="191"/>
      <c r="E1600" s="191"/>
      <c r="F1600" s="191"/>
      <c r="G1600" s="191"/>
      <c r="H1600" s="191"/>
      <c r="I1600" s="191"/>
      <c r="J1600" s="191"/>
      <c r="K1600" s="192"/>
      <c r="L1600" s="184">
        <f>SUM(L2:L1599)</f>
        <v>4952673982000</v>
      </c>
    </row>
    <row r="1601" spans="4:67" s="1" customFormat="1" ht="12.5" x14ac:dyDescent="0.25">
      <c r="D1601" s="186"/>
      <c r="E1601" s="186"/>
      <c r="F1601" s="186"/>
      <c r="G1601" s="2"/>
      <c r="H1601" s="185"/>
      <c r="I1601" s="5"/>
      <c r="J1601" s="4"/>
      <c r="L1601" s="6"/>
      <c r="N1601" s="2"/>
      <c r="O1601" s="3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</row>
  </sheetData>
  <mergeCells count="1">
    <mergeCell ref="A1600:K1600"/>
  </mergeCells>
  <pageMargins left="0.23622047244094491" right="0.19685039370078741" top="0.47244094488188981" bottom="0.51181102362204722" header="0.11811023622047245" footer="0.27559055118110237"/>
  <pageSetup paperSize="9" scale="5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KK-17</vt:lpstr>
      <vt:lpstr>'KK-17'!Print_Area</vt:lpstr>
      <vt:lpstr>'KK-17'!Print_Titles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2026-02-19T02:09:50Z</dcterms:created>
  <dcterms:modified xsi:type="dcterms:W3CDTF">2026-02-25T03:25:48Z</dcterms:modified>
</cp:coreProperties>
</file>